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activeTab="0"/>
  </bookViews>
  <sheets>
    <sheet name="Data" sheetId="1" r:id="rId1"/>
    <sheet name="Measurements" sheetId="2" r:id="rId2"/>
    <sheet name="Calculation01" sheetId="3" r:id="rId3"/>
    <sheet name="Sheet 4" sheetId="4" r:id="rId4"/>
  </sheets>
  <definedNames/>
  <calcPr fullCalcOnLoad="1"/>
</workbook>
</file>

<file path=xl/comments1.xml><?xml version="1.0" encoding="utf-8"?>
<comments xmlns="http://schemas.openxmlformats.org/spreadsheetml/2006/main">
  <authors>
    <author>pop</author>
    <author>rohil</author>
  </authors>
  <commentList>
    <comment ref="L14" authorId="0">
      <text>
        <r>
          <rPr>
            <b/>
            <sz val="12"/>
            <color indexed="10"/>
            <rFont val="Arial"/>
            <family val="2"/>
          </rPr>
          <t>Enter "F" if one end is not connected</t>
        </r>
      </text>
    </comment>
    <comment ref="I42" authorId="0">
      <text>
        <r>
          <rPr>
            <b/>
            <sz val="12"/>
            <color indexed="12"/>
            <rFont val="Arial"/>
            <family val="2"/>
          </rPr>
          <t>Insert 
"</t>
        </r>
        <r>
          <rPr>
            <b/>
            <sz val="12"/>
            <color indexed="10"/>
            <rFont val="Arial"/>
            <family val="2"/>
          </rPr>
          <t>C</t>
        </r>
        <r>
          <rPr>
            <b/>
            <sz val="12"/>
            <color indexed="12"/>
            <rFont val="Arial"/>
            <family val="2"/>
          </rPr>
          <t>" for Circular, 
"</t>
        </r>
        <r>
          <rPr>
            <b/>
            <sz val="12"/>
            <color indexed="10"/>
            <rFont val="Arial"/>
            <family val="2"/>
          </rPr>
          <t>S</t>
        </r>
        <r>
          <rPr>
            <b/>
            <sz val="12"/>
            <color indexed="12"/>
            <rFont val="Arial"/>
            <family val="2"/>
          </rPr>
          <t>" for square</t>
        </r>
        <r>
          <rPr>
            <sz val="8"/>
            <rFont val="Tahoma"/>
            <family val="0"/>
          </rPr>
          <t xml:space="preserve">
</t>
        </r>
      </text>
    </comment>
    <comment ref="I43" authorId="0">
      <text>
        <r>
          <rPr>
            <b/>
            <sz val="12"/>
            <color indexed="10"/>
            <rFont val="Arial"/>
            <family val="2"/>
          </rPr>
          <t>Insert
"</t>
        </r>
        <r>
          <rPr>
            <b/>
            <sz val="12"/>
            <color indexed="12"/>
            <rFont val="Arial"/>
            <family val="2"/>
          </rPr>
          <t>C</t>
        </r>
        <r>
          <rPr>
            <b/>
            <sz val="12"/>
            <color indexed="10"/>
            <rFont val="Arial"/>
            <family val="2"/>
          </rPr>
          <t>" for concrete,
"</t>
        </r>
        <r>
          <rPr>
            <b/>
            <sz val="12"/>
            <color indexed="12"/>
            <rFont val="Arial"/>
            <family val="2"/>
          </rPr>
          <t>B</t>
        </r>
        <r>
          <rPr>
            <b/>
            <sz val="12"/>
            <color indexed="10"/>
            <rFont val="Arial"/>
            <family val="2"/>
          </rPr>
          <t>" for Brick</t>
        </r>
        <r>
          <rPr>
            <sz val="8"/>
            <rFont val="Tahoma"/>
            <family val="0"/>
          </rPr>
          <t xml:space="preserve">
</t>
        </r>
      </text>
    </comment>
    <comment ref="O22" authorId="0">
      <text>
        <r>
          <rPr>
            <b/>
            <sz val="14"/>
            <color indexed="10"/>
            <rFont val="Arial"/>
            <family val="2"/>
          </rPr>
          <t>Insert Mix 15 or 20</t>
        </r>
        <r>
          <rPr>
            <sz val="8"/>
            <rFont val="Tahoma"/>
            <family val="0"/>
          </rPr>
          <t xml:space="preserve">
</t>
        </r>
      </text>
    </comment>
    <comment ref="M8" authorId="0">
      <text>
        <r>
          <rPr>
            <b/>
            <sz val="12"/>
            <color indexed="12"/>
            <rFont val="Arial"/>
            <family val="2"/>
          </rPr>
          <t>Outside Area</t>
        </r>
        <r>
          <rPr>
            <sz val="8"/>
            <rFont val="Tahoma"/>
            <family val="0"/>
          </rPr>
          <t xml:space="preserve">
</t>
        </r>
      </text>
    </comment>
    <comment ref="O8" authorId="0">
      <text>
        <r>
          <rPr>
            <b/>
            <sz val="12"/>
            <color indexed="12"/>
            <rFont val="Arial"/>
            <family val="2"/>
          </rPr>
          <t>Outside Perimeter</t>
        </r>
        <r>
          <rPr>
            <sz val="8"/>
            <rFont val="Tahoma"/>
            <family val="0"/>
          </rPr>
          <t xml:space="preserve">
</t>
        </r>
      </text>
    </comment>
    <comment ref="J7" authorId="0">
      <text>
        <r>
          <rPr>
            <b/>
            <sz val="12"/>
            <color indexed="52"/>
            <rFont val="Arial"/>
            <family val="2"/>
          </rPr>
          <t xml:space="preserve">Enter </t>
        </r>
        <r>
          <rPr>
            <b/>
            <sz val="12"/>
            <color indexed="12"/>
            <rFont val="Arial"/>
            <family val="2"/>
          </rPr>
          <t>B</t>
        </r>
        <r>
          <rPr>
            <b/>
            <sz val="12"/>
            <color indexed="52"/>
            <rFont val="Arial"/>
            <family val="2"/>
          </rPr>
          <t xml:space="preserve"> if brick size is 22.9x11.2x7 
or </t>
        </r>
        <r>
          <rPr>
            <b/>
            <sz val="12"/>
            <color indexed="12"/>
            <rFont val="Arial"/>
            <family val="2"/>
          </rPr>
          <t>S</t>
        </r>
        <r>
          <rPr>
            <b/>
            <sz val="12"/>
            <color indexed="52"/>
            <rFont val="Arial"/>
            <family val="2"/>
          </rPr>
          <t xml:space="preserve"> if brick size is 19x9x9 
or </t>
        </r>
        <r>
          <rPr>
            <b/>
            <sz val="12"/>
            <color indexed="12"/>
            <rFont val="Arial"/>
            <family val="2"/>
          </rPr>
          <t>O</t>
        </r>
        <r>
          <rPr>
            <b/>
            <sz val="12"/>
            <color indexed="52"/>
            <rFont val="Arial"/>
            <family val="2"/>
          </rPr>
          <t xml:space="preserve"> if brick size is 20x10x6.5 (Local)</t>
        </r>
      </text>
    </comment>
    <comment ref="O41" authorId="0">
      <text>
        <r>
          <rPr>
            <b/>
            <sz val="12"/>
            <color indexed="12"/>
            <rFont val="Arial"/>
            <family val="2"/>
          </rPr>
          <t>If extra length required, other than generated automatically for window opening (only) enter total additional length required.</t>
        </r>
        <r>
          <rPr>
            <sz val="8"/>
            <rFont val="Tahoma"/>
            <family val="0"/>
          </rPr>
          <t xml:space="preserve">
</t>
        </r>
      </text>
    </comment>
    <comment ref="K14" authorId="0">
      <text>
        <r>
          <rPr>
            <b/>
            <sz val="12"/>
            <color indexed="10"/>
            <rFont val="Arial"/>
            <family val="2"/>
          </rPr>
          <t>Enter C/C Distance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12"/>
            <color indexed="10"/>
            <rFont val="Arial"/>
            <family val="2"/>
          </rPr>
          <t>Enter C/C distance</t>
        </r>
        <r>
          <rPr>
            <sz val="8"/>
            <rFont val="Tahoma"/>
            <family val="0"/>
          </rPr>
          <t xml:space="preserve">
</t>
        </r>
      </text>
    </comment>
    <comment ref="J23" authorId="0">
      <text>
        <r>
          <rPr>
            <b/>
            <sz val="12"/>
            <color indexed="12"/>
            <rFont val="Arial"/>
            <family val="2"/>
          </rPr>
          <t>Enter clear length</t>
        </r>
        <r>
          <rPr>
            <sz val="8"/>
            <rFont val="Tahoma"/>
            <family val="0"/>
          </rPr>
          <t xml:space="preserve">
</t>
        </r>
      </text>
    </comment>
    <comment ref="O43" authorId="0">
      <text>
        <r>
          <rPr>
            <b/>
            <sz val="12"/>
            <color indexed="10"/>
            <rFont val="Arial"/>
            <family val="2"/>
          </rPr>
          <t>Enter required length or, if full length sun shade is  required enter F.</t>
        </r>
        <r>
          <rPr>
            <sz val="8"/>
            <rFont val="Tahoma"/>
            <family val="0"/>
          </rPr>
          <t xml:space="preserve">
</t>
        </r>
      </text>
    </comment>
    <comment ref="P43" authorId="0">
      <text>
        <r>
          <rPr>
            <b/>
            <sz val="12"/>
            <color indexed="10"/>
            <rFont val="Arial"/>
            <family val="2"/>
          </rPr>
          <t>Enter required length or, if full length sunshade is required enter F.</t>
        </r>
        <r>
          <rPr>
            <sz val="8"/>
            <rFont val="Tahoma"/>
            <family val="0"/>
          </rPr>
          <t xml:space="preserve">
</t>
        </r>
      </text>
    </comment>
    <comment ref="C24" authorId="0">
      <text>
        <r>
          <rPr>
            <b/>
            <sz val="12"/>
            <color indexed="10"/>
            <rFont val="Arial"/>
            <family val="2"/>
          </rPr>
          <t>Enter C/C distance</t>
        </r>
        <r>
          <rPr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b/>
            <sz val="12"/>
            <color indexed="10"/>
            <rFont val="Arial"/>
            <family val="2"/>
          </rPr>
          <t>Enter C/C distance</t>
        </r>
        <r>
          <rPr>
            <sz val="8"/>
            <rFont val="Tahoma"/>
            <family val="0"/>
          </rPr>
          <t xml:space="preserve">
</t>
        </r>
      </text>
    </comment>
    <comment ref="D42" authorId="0">
      <text>
        <r>
          <rPr>
            <b/>
            <sz val="12"/>
            <color indexed="12"/>
            <rFont val="Arial"/>
            <family val="2"/>
          </rPr>
          <t>Enter inside Dimensions</t>
        </r>
        <r>
          <rPr>
            <sz val="8"/>
            <rFont val="Tahoma"/>
            <family val="0"/>
          </rPr>
          <t xml:space="preserve">
</t>
        </r>
      </text>
    </comment>
    <comment ref="N27" authorId="0">
      <text>
        <r>
          <rPr>
            <b/>
            <sz val="12"/>
            <color indexed="23"/>
            <rFont val="Arial"/>
            <family val="2"/>
          </rPr>
          <t>To be provided as per actual Design.</t>
        </r>
        <r>
          <rPr>
            <sz val="8"/>
            <rFont val="Tahoma"/>
            <family val="0"/>
          </rPr>
          <t xml:space="preserve">
</t>
        </r>
      </text>
    </comment>
    <comment ref="J53" authorId="0">
      <text>
        <r>
          <rPr>
            <b/>
            <sz val="12"/>
            <color indexed="62"/>
            <rFont val="Arial"/>
            <family val="2"/>
          </rPr>
          <t>Your Basic Measurments are ready. Check Measurements sheet and add Items for Plumbing and Electrification.</t>
        </r>
        <r>
          <rPr>
            <sz val="8"/>
            <rFont val="Tahoma"/>
            <family val="0"/>
          </rPr>
          <t xml:space="preserve"> 
</t>
        </r>
      </text>
    </comment>
    <comment ref="B52" authorId="1">
      <text>
        <r>
          <rPr>
            <sz val="12"/>
            <rFont val="Tahoma"/>
            <family val="2"/>
          </rPr>
          <t>Add additional Room</t>
        </r>
        <r>
          <rPr>
            <sz val="9"/>
            <rFont val="Tahoma"/>
            <family val="0"/>
          </rPr>
          <t xml:space="preserve">
</t>
        </r>
      </text>
    </comment>
    <comment ref="H39" authorId="1">
      <text>
        <r>
          <rPr>
            <sz val="9"/>
            <rFont val="Tahoma"/>
            <family val="0"/>
          </rPr>
          <t xml:space="preserve">Lintel beam is provided through out
</t>
        </r>
      </text>
    </comment>
    <comment ref="J50" authorId="1">
      <text>
        <r>
          <rPr>
            <b/>
            <sz val="9"/>
            <color indexed="12"/>
            <rFont val="Tahoma"/>
            <family val="2"/>
          </rPr>
          <t>Enter 3 or 4 or 5 or 6</t>
        </r>
        <r>
          <rPr>
            <sz val="9"/>
            <rFont val="Tahoma"/>
            <family val="0"/>
          </rPr>
          <t xml:space="preserve">
</t>
        </r>
      </text>
    </comment>
    <comment ref="J49" authorId="1">
      <text>
        <r>
          <rPr>
            <b/>
            <sz val="9"/>
            <color indexed="12"/>
            <rFont val="Tahoma"/>
            <family val="2"/>
          </rPr>
          <t>Enter 12 or 15</t>
        </r>
        <r>
          <rPr>
            <sz val="9"/>
            <rFont val="Tahoma"/>
            <family val="0"/>
          </rPr>
          <t xml:space="preserve">
</t>
        </r>
      </text>
    </comment>
    <comment ref="J8" authorId="1">
      <text>
        <r>
          <rPr>
            <b/>
            <sz val="9"/>
            <color indexed="12"/>
            <rFont val="Tahoma"/>
            <family val="2"/>
          </rPr>
          <t>Enter 5, 6 or 8</t>
        </r>
        <r>
          <rPr>
            <sz val="9"/>
            <rFont val="Tahoma"/>
            <family val="0"/>
          </rPr>
          <t xml:space="preserve">
</t>
        </r>
      </text>
    </comment>
    <comment ref="E2" authorId="1">
      <text>
        <r>
          <rPr>
            <b/>
            <sz val="9"/>
            <color indexed="60"/>
            <rFont val="Tahoma"/>
            <family val="2"/>
          </rPr>
          <t xml:space="preserve">Insert </t>
        </r>
        <r>
          <rPr>
            <b/>
            <sz val="12"/>
            <color indexed="60"/>
            <rFont val="Tahoma"/>
            <family val="2"/>
          </rPr>
          <t>R</t>
        </r>
        <r>
          <rPr>
            <b/>
            <sz val="9"/>
            <color indexed="60"/>
            <rFont val="Tahoma"/>
            <family val="2"/>
          </rPr>
          <t xml:space="preserve"> for random rubble masonry, </t>
        </r>
        <r>
          <rPr>
            <b/>
            <sz val="12"/>
            <color indexed="60"/>
            <rFont val="Tahoma"/>
            <family val="2"/>
          </rPr>
          <t>B</t>
        </r>
        <r>
          <rPr>
            <b/>
            <sz val="9"/>
            <color indexed="60"/>
            <rFont val="Tahoma"/>
            <family val="2"/>
          </rPr>
          <t xml:space="preserve"> for brick masonry </t>
        </r>
        <r>
          <rPr>
            <sz val="9"/>
            <rFont val="Tahoma"/>
            <family val="0"/>
          </rPr>
          <t xml:space="preserve">
</t>
        </r>
      </text>
    </comment>
    <comment ref="D2" authorId="1">
      <text>
        <r>
          <rPr>
            <b/>
            <sz val="12"/>
            <color indexed="56"/>
            <rFont val="Tahoma"/>
            <family val="2"/>
          </rPr>
          <t>Start from here</t>
        </r>
        <r>
          <rPr>
            <sz val="9"/>
            <rFont val="Tahoma"/>
            <family val="0"/>
          </rPr>
          <t xml:space="preserve">
</t>
        </r>
      </text>
    </comment>
    <comment ref="D11" authorId="1">
      <text>
        <r>
          <rPr>
            <b/>
            <sz val="12"/>
            <rFont val="Tahoma"/>
            <family val="2"/>
          </rPr>
          <t>Insert 5, 6 or 8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<sst xmlns="http://schemas.openxmlformats.org/spreadsheetml/2006/main" count="836" uniqueCount="434">
  <si>
    <t>Masonary Eatimate</t>
  </si>
  <si>
    <t>Foundation</t>
  </si>
  <si>
    <t>Stone Masonry</t>
  </si>
  <si>
    <t>Wall Thickness  =</t>
  </si>
  <si>
    <t>H1</t>
  </si>
  <si>
    <t>H2</t>
  </si>
  <si>
    <t>H3</t>
  </si>
  <si>
    <t>H4</t>
  </si>
  <si>
    <t>c</t>
  </si>
  <si>
    <t xml:space="preserve">Along </t>
  </si>
  <si>
    <t>Across</t>
  </si>
  <si>
    <t>B</t>
  </si>
  <si>
    <t>Q</t>
  </si>
  <si>
    <t>Masonry</t>
  </si>
  <si>
    <t>L1</t>
  </si>
  <si>
    <t>L2</t>
  </si>
  <si>
    <t>L3</t>
  </si>
  <si>
    <t>L4</t>
  </si>
  <si>
    <t>Hcc</t>
  </si>
  <si>
    <t>PCC =</t>
  </si>
  <si>
    <t>cum</t>
  </si>
  <si>
    <t>Wall</t>
  </si>
  <si>
    <t>RR</t>
  </si>
  <si>
    <t>HCC</t>
  </si>
  <si>
    <t>WALL</t>
  </si>
  <si>
    <t>Brick Masonry (First Floor)</t>
  </si>
  <si>
    <t>Cross</t>
  </si>
  <si>
    <t>Long</t>
  </si>
  <si>
    <t>FF Total</t>
  </si>
  <si>
    <t>No</t>
  </si>
  <si>
    <t>Height</t>
  </si>
  <si>
    <t>Length</t>
  </si>
  <si>
    <t>Concrete</t>
  </si>
  <si>
    <t>H</t>
  </si>
  <si>
    <t>Roof FF</t>
  </si>
  <si>
    <t>Roof GF</t>
  </si>
  <si>
    <t>Wood Work</t>
  </si>
  <si>
    <t>D1</t>
  </si>
  <si>
    <t>D3</t>
  </si>
  <si>
    <t>D2</t>
  </si>
  <si>
    <t>W1</t>
  </si>
  <si>
    <t>W2</t>
  </si>
  <si>
    <t>W3</t>
  </si>
  <si>
    <t>W4</t>
  </si>
  <si>
    <t>V1</t>
  </si>
  <si>
    <t>V2</t>
  </si>
  <si>
    <t>Area</t>
  </si>
  <si>
    <t>Total</t>
  </si>
  <si>
    <t>Masonry Deduction</t>
  </si>
  <si>
    <t xml:space="preserve">Room Height        </t>
  </si>
  <si>
    <t>.=</t>
  </si>
  <si>
    <t xml:space="preserve">Slab Thickness     </t>
  </si>
  <si>
    <t xml:space="preserve">Stair Rise             </t>
  </si>
  <si>
    <t>Adjusted</t>
  </si>
  <si>
    <t xml:space="preserve">Tread                   </t>
  </si>
  <si>
    <t xml:space="preserve">Total No. of rise    </t>
  </si>
  <si>
    <t>First Flight</t>
  </si>
  <si>
    <t>First step starts at</t>
  </si>
  <si>
    <t xml:space="preserve">No. of rise            </t>
  </si>
  <si>
    <t xml:space="preserve">Head room          </t>
  </si>
  <si>
    <t xml:space="preserve">No.of stepps        </t>
  </si>
  <si>
    <t>D1 =</t>
  </si>
  <si>
    <t>Second Flight</t>
  </si>
  <si>
    <t xml:space="preserve">No. of steps         </t>
  </si>
  <si>
    <t xml:space="preserve">D2                       </t>
  </si>
  <si>
    <t>Slant Height</t>
  </si>
  <si>
    <t>Width</t>
  </si>
  <si>
    <t>Slab Thickness</t>
  </si>
  <si>
    <t>Deduct</t>
  </si>
  <si>
    <t xml:space="preserve"> Wall 02 </t>
  </si>
  <si>
    <t xml:space="preserve"> Wall 03 </t>
  </si>
  <si>
    <t xml:space="preserve"> Wall 04 </t>
  </si>
  <si>
    <t xml:space="preserve"> Wall 05 </t>
  </si>
  <si>
    <t xml:space="preserve"> Wall 06 </t>
  </si>
  <si>
    <t>Partition Wall  Masonry</t>
  </si>
  <si>
    <t>Wall / Ceiling Height</t>
  </si>
  <si>
    <t>Add Stair</t>
  </si>
  <si>
    <t>Parapet Length</t>
  </si>
  <si>
    <t>Q=</t>
  </si>
  <si>
    <t>Column</t>
  </si>
  <si>
    <t>L</t>
  </si>
  <si>
    <t>Brick SQ</t>
  </si>
  <si>
    <t>RCC SQ</t>
  </si>
  <si>
    <t>RCC CIR</t>
  </si>
  <si>
    <t>fdn thickness</t>
  </si>
  <si>
    <t>Brick Masonry</t>
  </si>
  <si>
    <t xml:space="preserve">RCC </t>
  </si>
  <si>
    <t>RR Masonry =</t>
  </si>
  <si>
    <t>No X B</t>
  </si>
  <si>
    <t>lintel</t>
  </si>
  <si>
    <t>Plain Cement Concrete</t>
  </si>
  <si>
    <t>RCC</t>
  </si>
  <si>
    <t>Unit</t>
  </si>
  <si>
    <t>Kitchen</t>
  </si>
  <si>
    <t>Work area</t>
  </si>
  <si>
    <t>Bath 1</t>
  </si>
  <si>
    <t>Bath 2</t>
  </si>
  <si>
    <t>Bed room</t>
  </si>
  <si>
    <t xml:space="preserve">Bed room </t>
  </si>
  <si>
    <t>Dining Room</t>
  </si>
  <si>
    <t>Stair</t>
  </si>
  <si>
    <t>Drawing Room</t>
  </si>
  <si>
    <t>Verandah</t>
  </si>
  <si>
    <t>Bath 3</t>
  </si>
  <si>
    <t xml:space="preserve">Bed Room </t>
  </si>
  <si>
    <t>Outside FF</t>
  </si>
  <si>
    <t>Outside GF</t>
  </si>
  <si>
    <t>Parapet</t>
  </si>
  <si>
    <t>Tile</t>
  </si>
  <si>
    <t>Ceiling Area</t>
  </si>
  <si>
    <t>Total Perimeter</t>
  </si>
  <si>
    <t>Plaster</t>
  </si>
  <si>
    <t>Plastering</t>
  </si>
  <si>
    <t>sqmt</t>
  </si>
  <si>
    <t>Quantity</t>
  </si>
  <si>
    <t>dado =</t>
  </si>
  <si>
    <t>W/C wall tile (Dado)</t>
  </si>
  <si>
    <t>Floor / tiles</t>
  </si>
  <si>
    <t>Plumbing</t>
  </si>
  <si>
    <t>Rmt</t>
  </si>
  <si>
    <t>Sun Shade</t>
  </si>
  <si>
    <t>Projection</t>
  </si>
  <si>
    <t>Lintel length =</t>
  </si>
  <si>
    <t>RCC Q</t>
  </si>
  <si>
    <t xml:space="preserve">Electrical </t>
  </si>
  <si>
    <t>Door / Window</t>
  </si>
  <si>
    <t>Foundation Depth</t>
  </si>
  <si>
    <t>Excavation</t>
  </si>
  <si>
    <t>Loft</t>
  </si>
  <si>
    <t>Q =</t>
  </si>
  <si>
    <t>Excavation for Foundation</t>
  </si>
  <si>
    <t>Thickness</t>
  </si>
  <si>
    <t>Nos</t>
  </si>
  <si>
    <t>Concrete MIX</t>
  </si>
  <si>
    <t>cement</t>
  </si>
  <si>
    <t>sand</t>
  </si>
  <si>
    <t>metal</t>
  </si>
  <si>
    <t>One cubic metre needs &gt;</t>
  </si>
  <si>
    <t>M15</t>
  </si>
  <si>
    <t>M20</t>
  </si>
  <si>
    <t>One bag =</t>
  </si>
  <si>
    <t>Cement</t>
  </si>
  <si>
    <t>Sand</t>
  </si>
  <si>
    <t>Metal</t>
  </si>
  <si>
    <t>Bags</t>
  </si>
  <si>
    <t>CUM</t>
  </si>
  <si>
    <t>Bricks</t>
  </si>
  <si>
    <t>LXB</t>
  </si>
  <si>
    <t>Measurements</t>
  </si>
  <si>
    <t>No. of verticals</t>
  </si>
  <si>
    <t>Total Q</t>
  </si>
  <si>
    <t>Door Only</t>
  </si>
  <si>
    <t>Not to scale</t>
  </si>
  <si>
    <t>B1</t>
  </si>
  <si>
    <t>Door =</t>
  </si>
  <si>
    <t>Window =</t>
  </si>
  <si>
    <t>Ventilator =</t>
  </si>
  <si>
    <t>Door Panel</t>
  </si>
  <si>
    <t>Window Pane</t>
  </si>
  <si>
    <t>Ventilator</t>
  </si>
  <si>
    <t>Cum</t>
  </si>
  <si>
    <t>Wood for Door / window Frame</t>
  </si>
  <si>
    <t>Rise</t>
  </si>
  <si>
    <t>Unit Weight</t>
  </si>
  <si>
    <t>Kg/cum</t>
  </si>
  <si>
    <t>Brick</t>
  </si>
  <si>
    <t>Cement required</t>
  </si>
  <si>
    <t>Brick Work</t>
  </si>
  <si>
    <t>cum/10sqm</t>
  </si>
  <si>
    <t>Beam</t>
  </si>
  <si>
    <t>Perimeter</t>
  </si>
  <si>
    <t>Estimate</t>
  </si>
  <si>
    <t>Brick Size</t>
  </si>
  <si>
    <t>PCC</t>
  </si>
  <si>
    <t>GFOutside</t>
  </si>
  <si>
    <t>FFOutside</t>
  </si>
  <si>
    <t>No of Bricks / Size</t>
  </si>
  <si>
    <t>Plaster loft sunshade</t>
  </si>
  <si>
    <t>Outside</t>
  </si>
  <si>
    <t>Brick Masonry (Ground Floor)</t>
  </si>
  <si>
    <t>Septic Tank</t>
  </si>
  <si>
    <t>Steel</t>
  </si>
  <si>
    <t>Slab</t>
  </si>
  <si>
    <t>%</t>
  </si>
  <si>
    <t>sunshade area=</t>
  </si>
  <si>
    <t>FF slab</t>
  </si>
  <si>
    <t>GF slab</t>
  </si>
  <si>
    <t>loft</t>
  </si>
  <si>
    <t>Slab Area</t>
  </si>
  <si>
    <t xml:space="preserve">Sun shade </t>
  </si>
  <si>
    <t>Beam quantity</t>
  </si>
  <si>
    <t>Lintel</t>
  </si>
  <si>
    <t>stair</t>
  </si>
  <si>
    <t>Tonne</t>
  </si>
  <si>
    <t>total steel=</t>
  </si>
  <si>
    <t xml:space="preserve">bath </t>
  </si>
  <si>
    <t xml:space="preserve">Stair </t>
  </si>
  <si>
    <t>GF</t>
  </si>
  <si>
    <t>FF</t>
  </si>
  <si>
    <t>Flooring</t>
  </si>
  <si>
    <t>Doors  =</t>
  </si>
  <si>
    <t>GF Floor area =&gt;&gt;&gt;</t>
  </si>
  <si>
    <t>Cement =</t>
  </si>
  <si>
    <t>Total&gt;&gt;&gt;</t>
  </si>
  <si>
    <t>Mortar</t>
  </si>
  <si>
    <t>Cemrnt / Sand ratio</t>
  </si>
  <si>
    <r>
      <t>1:</t>
    </r>
    <r>
      <rPr>
        <sz val="1"/>
        <rFont val="Arial"/>
        <family val="2"/>
      </rPr>
      <t>.</t>
    </r>
  </si>
  <si>
    <t>Cement. Kg</t>
  </si>
  <si>
    <t>Brick Work 1:</t>
  </si>
  <si>
    <t>Plinth RR masonry</t>
  </si>
  <si>
    <t>Plinth</t>
  </si>
  <si>
    <t>fdn</t>
  </si>
  <si>
    <t>total</t>
  </si>
  <si>
    <r>
      <t>.</t>
    </r>
    <r>
      <rPr>
        <b/>
        <sz val="10"/>
        <rFont val="Arial"/>
        <family val="2"/>
      </rPr>
      <t>+</t>
    </r>
  </si>
  <si>
    <r>
      <t>.</t>
    </r>
    <r>
      <rPr>
        <sz val="10"/>
        <rFont val="Arial"/>
        <family val="2"/>
      </rPr>
      <t>=</t>
    </r>
  </si>
  <si>
    <t>Rubble</t>
  </si>
  <si>
    <t>RR Masonry Plinth</t>
  </si>
  <si>
    <t>kg/cum</t>
  </si>
  <si>
    <t>Bag</t>
  </si>
  <si>
    <t>Item</t>
  </si>
  <si>
    <t>Partition wall (qty added above)</t>
  </si>
  <si>
    <t>Extra length</t>
  </si>
  <si>
    <t>Extra width</t>
  </si>
  <si>
    <t>Extra qty</t>
  </si>
  <si>
    <t>Total qty</t>
  </si>
  <si>
    <t>Sewerage</t>
  </si>
  <si>
    <t>NoxB</t>
  </si>
  <si>
    <t>clear H</t>
  </si>
  <si>
    <t>No. group</t>
  </si>
  <si>
    <t>Round</t>
  </si>
  <si>
    <t>No of bar</t>
  </si>
  <si>
    <t>length</t>
  </si>
  <si>
    <t>weight/m</t>
  </si>
  <si>
    <t>weight.kg</t>
  </si>
  <si>
    <t>Round bar</t>
  </si>
  <si>
    <t>Flat</t>
  </si>
  <si>
    <t>HxN</t>
  </si>
  <si>
    <t>12 mm round bar</t>
  </si>
  <si>
    <t>kg</t>
  </si>
  <si>
    <t>kalli</t>
  </si>
  <si>
    <t>W.pane width</t>
  </si>
  <si>
    <t>/ cum</t>
  </si>
  <si>
    <t>/ tonne</t>
  </si>
  <si>
    <t>Rate</t>
  </si>
  <si>
    <t>Rate Rs.</t>
  </si>
  <si>
    <t>Cross Total</t>
  </si>
  <si>
    <t>Long Total</t>
  </si>
  <si>
    <t>GF Total</t>
  </si>
  <si>
    <t>plaster area</t>
  </si>
  <si>
    <r>
      <t xml:space="preserve">Mix </t>
    </r>
    <r>
      <rPr>
        <b/>
        <sz val="8"/>
        <rFont val="Arial"/>
        <family val="2"/>
      </rPr>
      <t>M</t>
    </r>
  </si>
  <si>
    <t xml:space="preserve">GF </t>
  </si>
  <si>
    <t>For Lintel cal</t>
  </si>
  <si>
    <t>Qty</t>
  </si>
  <si>
    <t>s</t>
  </si>
  <si>
    <t>W</t>
  </si>
  <si>
    <t>W/A</t>
  </si>
  <si>
    <t>K</t>
  </si>
  <si>
    <t>D</t>
  </si>
  <si>
    <t>BR</t>
  </si>
  <si>
    <t>GF+FF</t>
  </si>
  <si>
    <t>Partition Wall</t>
  </si>
  <si>
    <t>Sqm</t>
  </si>
  <si>
    <t>Brick Nos</t>
  </si>
  <si>
    <t>Wall Height</t>
  </si>
  <si>
    <t>Sunshade</t>
  </si>
  <si>
    <t>inside</t>
  </si>
  <si>
    <t>For plaster</t>
  </si>
  <si>
    <t>Ground Floor</t>
  </si>
  <si>
    <t>First Floor</t>
  </si>
  <si>
    <t>Total Rubble</t>
  </si>
  <si>
    <t>RR Masonry in Cement Mortar</t>
  </si>
  <si>
    <t>Floor</t>
  </si>
  <si>
    <t>07mm x 30 mm flat</t>
  </si>
  <si>
    <t>S.Shade</t>
  </si>
  <si>
    <t>correct</t>
  </si>
  <si>
    <t>o</t>
  </si>
  <si>
    <t>Amount</t>
  </si>
  <si>
    <t>Cross Wall</t>
  </si>
  <si>
    <t>Long Wall</t>
  </si>
  <si>
    <t>Plot No</t>
  </si>
  <si>
    <t>Survey No</t>
  </si>
  <si>
    <t xml:space="preserve"> Wall 01 </t>
  </si>
  <si>
    <t xml:space="preserve"> Wall 01</t>
  </si>
  <si>
    <t>PCC 1:3:6</t>
  </si>
  <si>
    <t>Residence of</t>
  </si>
  <si>
    <t>Location</t>
  </si>
  <si>
    <t>Vol</t>
  </si>
  <si>
    <t>No/m3</t>
  </si>
  <si>
    <t>No/m3 including Plaster</t>
  </si>
  <si>
    <t>S</t>
  </si>
  <si>
    <t>O</t>
  </si>
  <si>
    <t>hc</t>
  </si>
  <si>
    <t>kg/sqm</t>
  </si>
  <si>
    <t>Perimetre</t>
  </si>
  <si>
    <t>Bath rooms</t>
  </si>
  <si>
    <t>Stair stepps</t>
  </si>
  <si>
    <t>RR Masonry in Mud Mortar</t>
  </si>
  <si>
    <r>
      <t>I :</t>
    </r>
    <r>
      <rPr>
        <sz val="2"/>
        <rFont val="Arial"/>
        <family val="2"/>
      </rPr>
      <t>.</t>
    </r>
  </si>
  <si>
    <t>Loft [Berth Slab]</t>
  </si>
  <si>
    <t>Extra L</t>
  </si>
  <si>
    <t>Add stepps =</t>
  </si>
  <si>
    <t>&gt;&gt;&gt;&gt;&gt;&gt;&gt;PCC</t>
  </si>
  <si>
    <t>Cement comsumption kg/10m2</t>
  </si>
  <si>
    <r>
      <t>1:</t>
    </r>
    <r>
      <rPr>
        <b/>
        <sz val="2"/>
        <rFont val="Arial"/>
        <family val="2"/>
      </rPr>
      <t>.</t>
    </r>
  </si>
  <si>
    <r>
      <t xml:space="preserve">Plastering </t>
    </r>
    <r>
      <rPr>
        <b/>
        <sz val="10"/>
        <color indexed="10"/>
        <rFont val="Arial"/>
        <family val="2"/>
      </rPr>
      <t>1:</t>
    </r>
    <r>
      <rPr>
        <sz val="10"/>
        <rFont val="Arial"/>
        <family val="0"/>
      </rPr>
      <t>.</t>
    </r>
  </si>
  <si>
    <t>Ratio</t>
  </si>
  <si>
    <t>Thickness mm</t>
  </si>
  <si>
    <t>f</t>
  </si>
  <si>
    <t>G.F</t>
  </si>
  <si>
    <t>F.F</t>
  </si>
  <si>
    <t>No. Pane</t>
  </si>
  <si>
    <t>LINTEL</t>
  </si>
  <si>
    <t xml:space="preserve">Coping </t>
  </si>
  <si>
    <t>Coping</t>
  </si>
  <si>
    <t>coping</t>
  </si>
  <si>
    <t>Below Stair</t>
  </si>
  <si>
    <t>Sink</t>
  </si>
  <si>
    <t>Washing</t>
  </si>
  <si>
    <t>Mixing</t>
  </si>
  <si>
    <t>Bath  1</t>
  </si>
  <si>
    <t>Helth Pt</t>
  </si>
  <si>
    <t>Flush</t>
  </si>
  <si>
    <t>Shower</t>
  </si>
  <si>
    <t>Heater</t>
  </si>
  <si>
    <t>Bath 4</t>
  </si>
  <si>
    <t>Work</t>
  </si>
  <si>
    <t xml:space="preserve">Aqua </t>
  </si>
  <si>
    <t>Guard</t>
  </si>
  <si>
    <t xml:space="preserve">Long </t>
  </si>
  <si>
    <t>Body</t>
  </si>
  <si>
    <t xml:space="preserve">Wash </t>
  </si>
  <si>
    <t>Basin</t>
  </si>
  <si>
    <t>Extra Brick if any</t>
  </si>
  <si>
    <t>Cost of Basic structure</t>
  </si>
  <si>
    <t>Amt</t>
  </si>
  <si>
    <t>Paint</t>
  </si>
  <si>
    <t>Out side</t>
  </si>
  <si>
    <t>Painting / white washing Wall</t>
  </si>
  <si>
    <t>FF Outside</t>
  </si>
  <si>
    <t>GF Outside</t>
  </si>
  <si>
    <t>GF Inside</t>
  </si>
  <si>
    <t>FF inside</t>
  </si>
  <si>
    <t>Painting Door / Window</t>
  </si>
  <si>
    <t>Door Frame</t>
  </si>
  <si>
    <t>Door pannel</t>
  </si>
  <si>
    <t>Window Frame</t>
  </si>
  <si>
    <t>Window Pannel</t>
  </si>
  <si>
    <t>Multiplying factor</t>
  </si>
  <si>
    <t>Bhavadasan</t>
  </si>
  <si>
    <t>India</t>
  </si>
  <si>
    <t>1/123</t>
  </si>
  <si>
    <t>TOTAL</t>
  </si>
  <si>
    <t>Cold Water</t>
  </si>
  <si>
    <t>Hot Water</t>
  </si>
  <si>
    <t xml:space="preserve">Supplying and fixing 25 mm  CPVC  pipe including all pipe specials and fixtures etc </t>
  </si>
  <si>
    <t xml:space="preserve">Supplying and fixing 40 mm  PVC /GI Pipe including all pipe specials and fixtures etc </t>
  </si>
  <si>
    <t xml:space="preserve">Supplying and fixing 25 mm  PVC /GI pipe including all pipe specials and fixtures etc </t>
  </si>
  <si>
    <t xml:space="preserve">Supplying and fixing 110 mm  PVC  pipe including all pipe specials and fixtures etc </t>
  </si>
  <si>
    <t xml:space="preserve">Supplying and fixing 40 mm  PVC  pipe including all pipe specials and fixtures etc </t>
  </si>
  <si>
    <t>C/F</t>
  </si>
  <si>
    <t>Conduit wiring for light, fan, plug using 2 runs of 1 sqmm PVC coated wire of approved quality along with No 16 G one copper wire for earthing etc complete</t>
  </si>
  <si>
    <t>Long Point</t>
  </si>
  <si>
    <t>Short Point</t>
  </si>
  <si>
    <t>Conduit wiring for Power, Power plug using 2 runs of 2.5 sqmm PVC coated wire of approved quality along with No 16 G one copper wire for earthing etc complete</t>
  </si>
  <si>
    <t>Cinduit wiring for TV cable with socket 75 ohms shielded cable socket etc complete</t>
  </si>
  <si>
    <t>Conduit wiring for Telephone  along with one 4 pair and one 2 pair cable with necessary socket etc complete</t>
  </si>
  <si>
    <t>Distribution Board for single phase power supply for 8 mcb and one ELCB</t>
  </si>
  <si>
    <t>Distribution Board for single phase power supply for 12  mcb and one ELCB</t>
  </si>
  <si>
    <t>Distribution Board for three phase power supply for 12  mcb and one ELCB with 4 way switch etc</t>
  </si>
  <si>
    <t>4 Pole ELCB (3 Phase)</t>
  </si>
  <si>
    <t>ELCB Single phase</t>
  </si>
  <si>
    <t>Conduit wiring for AC Power, Power plug using 2 runs of 4 sqmm PVC coated wire of approved quality along with No 16 G one copper wire for earthing etc complete</t>
  </si>
  <si>
    <t>MCB 12A</t>
  </si>
  <si>
    <t>MCB 6A</t>
  </si>
  <si>
    <t>Power Plug for AC</t>
  </si>
  <si>
    <t>Basic Rates</t>
  </si>
  <si>
    <t>pcc</t>
  </si>
  <si>
    <t>Foundation PCC</t>
  </si>
  <si>
    <t>Material consumption</t>
  </si>
  <si>
    <t>PCC Below Foundation</t>
  </si>
  <si>
    <t>Metal 40 mm</t>
  </si>
  <si>
    <t>PCC Flooring</t>
  </si>
  <si>
    <t>Tile laying</t>
  </si>
  <si>
    <t>bag</t>
  </si>
  <si>
    <t>RR Masonry In Mud Mortar</t>
  </si>
  <si>
    <t>RR Masonry In Cement Mortar</t>
  </si>
  <si>
    <t>Door</t>
  </si>
  <si>
    <t>Window</t>
  </si>
  <si>
    <t>Wood</t>
  </si>
  <si>
    <t>Door Window Ventilator</t>
  </si>
  <si>
    <t>Metal 25mm</t>
  </si>
  <si>
    <t>add for</t>
  </si>
  <si>
    <t>waste/void %</t>
  </si>
  <si>
    <t>/cum</t>
  </si>
  <si>
    <t>Other components door, electrification, plumbing, floor finish etc to be added in Measurement Sheet.</t>
  </si>
  <si>
    <t>H PCC</t>
  </si>
  <si>
    <t>H 1</t>
  </si>
  <si>
    <t>H 2</t>
  </si>
  <si>
    <t>H 3</t>
  </si>
  <si>
    <t>H 4</t>
  </si>
  <si>
    <t>ok</t>
  </si>
  <si>
    <t>LS</t>
  </si>
  <si>
    <t>Site Cleaning leveling</t>
  </si>
  <si>
    <t>Plinth re-filling</t>
  </si>
  <si>
    <t>Plinth refilling</t>
  </si>
  <si>
    <t xml:space="preserve">Additional Room </t>
  </si>
  <si>
    <t>Lean Mortar &amp; cement slury for Tiles</t>
  </si>
  <si>
    <t>sqm</t>
  </si>
  <si>
    <t>Lean Mortar for tile</t>
  </si>
  <si>
    <t>cement kg</t>
  </si>
  <si>
    <t>cement bag</t>
  </si>
  <si>
    <t>total bags</t>
  </si>
  <si>
    <t>(Quick look)</t>
  </si>
  <si>
    <t>RR masonry</t>
  </si>
  <si>
    <t>Bricks for Fdn</t>
  </si>
  <si>
    <t>Cement for brick fdn</t>
  </si>
  <si>
    <t>Sand for fdn</t>
  </si>
  <si>
    <t>Metal 20 mm</t>
  </si>
  <si>
    <t>Total brick=</t>
  </si>
  <si>
    <t>Brick Masonry Fdn</t>
  </si>
  <si>
    <t>OR</t>
  </si>
  <si>
    <t>Brick Masonry in Cement Mortar</t>
  </si>
  <si>
    <t>cun</t>
  </si>
  <si>
    <t>tile</t>
  </si>
  <si>
    <t xml:space="preserve">Steel bending hooking </t>
  </si>
  <si>
    <t>Kitchen Sink</t>
  </si>
  <si>
    <t>Wash Basin</t>
  </si>
  <si>
    <t xml:space="preserve">WC, Seat, Flushing cistern, Seat cover </t>
  </si>
  <si>
    <t>R</t>
  </si>
  <si>
    <t xml:space="preserve">Plastering </t>
  </si>
  <si>
    <t>Add for labour</t>
  </si>
  <si>
    <t>Add for supervision charges</t>
  </si>
  <si>
    <t>Labour</t>
  </si>
  <si>
    <t>done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</si>
</sst>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[$-409]h:mm:ss\ AM/PM"/>
    <numFmt numFmtId="174" formatCode="h:mm;@"/>
    <numFmt numFmtId="175" formatCode="[$-409]dddd\,\ mmmm\ dd\,\ yyyy"/>
    <numFmt numFmtId="176" formatCode="0.00000"/>
    <numFmt numFmtId="177" formatCode="0.00000000"/>
    <numFmt numFmtId="178" formatCode="0.0000000"/>
    <numFmt numFmtId="179" formatCode="0.000000"/>
    <numFmt numFmtId="180" formatCode="&quot;Rs.&quot;\ #,##0.00"/>
    <numFmt numFmtId="181" formatCode="&quot;Rs.&quot;\ #,##0.00;[Red]&quot;Rs.&quot;\ #,##0.00"/>
    <numFmt numFmtId="182" formatCode="#,##0.00;[Red]#,##0.00"/>
  </numFmts>
  <fonts count="9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61"/>
      <name val="Arial"/>
      <family val="0"/>
    </font>
    <font>
      <b/>
      <sz val="10"/>
      <color indexed="14"/>
      <name val="Arial"/>
      <family val="2"/>
    </font>
    <font>
      <sz val="8"/>
      <name val="Tahoma"/>
      <family val="0"/>
    </font>
    <font>
      <b/>
      <sz val="12"/>
      <color indexed="10"/>
      <name val="Arial"/>
      <family val="2"/>
    </font>
    <font>
      <sz val="11"/>
      <name val="Arial"/>
      <family val="0"/>
    </font>
    <font>
      <b/>
      <sz val="11"/>
      <color indexed="12"/>
      <name val="Arial"/>
      <family val="0"/>
    </font>
    <font>
      <b/>
      <sz val="11"/>
      <color indexed="60"/>
      <name val="Arial"/>
      <family val="0"/>
    </font>
    <font>
      <b/>
      <sz val="11"/>
      <color indexed="10"/>
      <name val="Arial"/>
      <family val="0"/>
    </font>
    <font>
      <b/>
      <sz val="11"/>
      <name val="Arial"/>
      <family val="2"/>
    </font>
    <font>
      <b/>
      <sz val="10"/>
      <color indexed="61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4"/>
      <color indexed="10"/>
      <name val="Arial"/>
      <family val="2"/>
    </font>
    <font>
      <sz val="8"/>
      <color indexed="12"/>
      <name val="Arial"/>
      <family val="2"/>
    </font>
    <font>
      <b/>
      <sz val="12"/>
      <color indexed="52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1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60"/>
      <name val="Arial"/>
      <family val="2"/>
    </font>
    <font>
      <b/>
      <sz val="10"/>
      <color indexed="16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0"/>
    </font>
    <font>
      <sz val="6.5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sz val="2"/>
      <name val="Arial"/>
      <family val="2"/>
    </font>
    <font>
      <b/>
      <sz val="12"/>
      <color indexed="23"/>
      <name val="Arial"/>
      <family val="2"/>
    </font>
    <font>
      <b/>
      <sz val="2"/>
      <name val="Arial"/>
      <family val="2"/>
    </font>
    <font>
      <b/>
      <sz val="12"/>
      <color indexed="62"/>
      <name val="Arial"/>
      <family val="2"/>
    </font>
    <font>
      <b/>
      <sz val="12"/>
      <color indexed="18"/>
      <name val="Arial"/>
      <family val="0"/>
    </font>
    <font>
      <sz val="10"/>
      <color indexed="18"/>
      <name val="Arial"/>
      <family val="0"/>
    </font>
    <font>
      <sz val="10"/>
      <color indexed="17"/>
      <name val="Arial"/>
      <family val="0"/>
    </font>
    <font>
      <b/>
      <sz val="10"/>
      <color indexed="52"/>
      <name val="Arial"/>
      <family val="2"/>
    </font>
    <font>
      <b/>
      <sz val="10"/>
      <color indexed="57"/>
      <name val="Arial"/>
      <family val="2"/>
    </font>
    <font>
      <sz val="10"/>
      <color indexed="40"/>
      <name val="Arial"/>
      <family val="0"/>
    </font>
    <font>
      <b/>
      <sz val="10"/>
      <color indexed="15"/>
      <name val="Arial"/>
      <family val="2"/>
    </font>
    <font>
      <sz val="9"/>
      <name val="Tahoma"/>
      <family val="0"/>
    </font>
    <font>
      <sz val="12"/>
      <name val="Tahoma"/>
      <family val="2"/>
    </font>
    <font>
      <b/>
      <sz val="9"/>
      <color indexed="12"/>
      <name val="Tahoma"/>
      <family val="2"/>
    </font>
    <font>
      <sz val="10"/>
      <color indexed="9"/>
      <name val="Arial"/>
      <family val="2"/>
    </font>
    <font>
      <b/>
      <sz val="12"/>
      <color indexed="60"/>
      <name val="Arial"/>
      <family val="2"/>
    </font>
    <font>
      <b/>
      <sz val="9"/>
      <color indexed="60"/>
      <name val="Tahoma"/>
      <family val="2"/>
    </font>
    <font>
      <b/>
      <sz val="12"/>
      <color indexed="60"/>
      <name val="Tahoma"/>
      <family val="2"/>
    </font>
    <font>
      <b/>
      <sz val="12"/>
      <name val="Tahoma"/>
      <family val="2"/>
    </font>
    <font>
      <b/>
      <sz val="12"/>
      <color indexed="56"/>
      <name val="Tahoma"/>
      <family val="2"/>
    </font>
    <font>
      <sz val="9"/>
      <color indexed="10"/>
      <name val="Arial"/>
      <family val="0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lightUp">
        <bgColor indexed="10"/>
      </patternFill>
    </fill>
    <fill>
      <patternFill patternType="solid">
        <fgColor indexed="42"/>
        <bgColor indexed="64"/>
      </patternFill>
    </fill>
    <fill>
      <patternFill patternType="gray125">
        <fgColor indexed="10"/>
      </patternFill>
    </fill>
    <fill>
      <patternFill patternType="solid">
        <fgColor indexed="2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>
        <color indexed="10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5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6" fillId="34" borderId="0" xfId="0" applyFont="1" applyFill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8" borderId="0" xfId="0" applyFill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39" borderId="0" xfId="0" applyFill="1" applyAlignment="1">
      <alignment/>
    </xf>
    <xf numFmtId="0" fontId="2" fillId="39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0" fontId="0" fillId="37" borderId="0" xfId="0" applyFill="1" applyAlignment="1">
      <alignment/>
    </xf>
    <xf numFmtId="0" fontId="0" fillId="34" borderId="0" xfId="0" applyFill="1" applyAlignment="1">
      <alignment/>
    </xf>
    <xf numFmtId="0" fontId="0" fillId="36" borderId="0" xfId="0" applyFill="1" applyAlignment="1">
      <alignment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33" borderId="0" xfId="0" applyFont="1" applyFill="1" applyAlignment="1" applyProtection="1">
      <alignment/>
      <protection/>
    </xf>
    <xf numFmtId="170" fontId="14" fillId="0" borderId="0" xfId="0" applyNumberFormat="1" applyFont="1" applyAlignment="1" applyProtection="1">
      <alignment horizontal="left"/>
      <protection/>
    </xf>
    <xf numFmtId="2" fontId="13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2" fontId="16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2" fontId="13" fillId="0" borderId="0" xfId="0" applyNumberFormat="1" applyFont="1" applyAlignment="1" applyProtection="1">
      <alignment horizontal="right"/>
      <protection/>
    </xf>
    <xf numFmtId="0" fontId="16" fillId="0" borderId="0" xfId="0" applyFont="1" applyAlignment="1" applyProtection="1">
      <alignment horizontal="right"/>
      <protection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4" borderId="0" xfId="0" applyFill="1" applyAlignment="1">
      <alignment horizontal="center"/>
    </xf>
    <xf numFmtId="0" fontId="2" fillId="34" borderId="0" xfId="0" applyFont="1" applyFill="1" applyAlignment="1">
      <alignment/>
    </xf>
    <xf numFmtId="0" fontId="18" fillId="33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40" borderId="0" xfId="0" applyFont="1" applyFill="1" applyAlignment="1">
      <alignment/>
    </xf>
    <xf numFmtId="0" fontId="0" fillId="40" borderId="0" xfId="0" applyFill="1" applyAlignment="1">
      <alignment/>
    </xf>
    <xf numFmtId="0" fontId="24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27" fillId="0" borderId="0" xfId="0" applyFont="1" applyAlignment="1" applyProtection="1">
      <alignment/>
      <protection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174" fontId="0" fillId="35" borderId="0" xfId="0" applyNumberFormat="1" applyFill="1" applyAlignment="1">
      <alignment horizontal="right"/>
    </xf>
    <xf numFmtId="0" fontId="0" fillId="35" borderId="0" xfId="0" applyFill="1" applyAlignment="1">
      <alignment horizontal="left"/>
    </xf>
    <xf numFmtId="0" fontId="0" fillId="35" borderId="0" xfId="0" applyFill="1" applyAlignment="1">
      <alignment horizontal="center"/>
    </xf>
    <xf numFmtId="171" fontId="2" fillId="35" borderId="0" xfId="0" applyNumberFormat="1" applyFont="1" applyFill="1" applyAlignment="1">
      <alignment/>
    </xf>
    <xf numFmtId="0" fontId="2" fillId="35" borderId="0" xfId="0" applyNumberFormat="1" applyFont="1" applyFill="1" applyAlignment="1">
      <alignment horizontal="left"/>
    </xf>
    <xf numFmtId="0" fontId="2" fillId="41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171" fontId="0" fillId="0" borderId="0" xfId="0" applyNumberFormat="1" applyAlignment="1">
      <alignment/>
    </xf>
    <xf numFmtId="174" fontId="0" fillId="41" borderId="10" xfId="0" applyNumberFormat="1" applyFill="1" applyBorder="1" applyAlignment="1">
      <alignment horizontal="right"/>
    </xf>
    <xf numFmtId="0" fontId="0" fillId="41" borderId="10" xfId="0" applyFill="1" applyBorder="1" applyAlignment="1">
      <alignment horizontal="left"/>
    </xf>
    <xf numFmtId="0" fontId="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2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24" fillId="0" borderId="0" xfId="0" applyFont="1" applyAlignment="1" applyProtection="1">
      <alignment/>
      <protection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 horizontal="lef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24" fillId="0" borderId="0" xfId="0" applyFont="1" applyAlignment="1">
      <alignment horizontal="center"/>
    </xf>
    <xf numFmtId="0" fontId="2" fillId="42" borderId="0" xfId="0" applyFont="1" applyFill="1" applyAlignment="1">
      <alignment/>
    </xf>
    <xf numFmtId="171" fontId="2" fillId="42" borderId="0" xfId="0" applyNumberFormat="1" applyFont="1" applyFill="1" applyAlignment="1">
      <alignment/>
    </xf>
    <xf numFmtId="0" fontId="2" fillId="43" borderId="0" xfId="0" applyFont="1" applyFill="1" applyAlignment="1">
      <alignment/>
    </xf>
    <xf numFmtId="171" fontId="2" fillId="43" borderId="0" xfId="0" applyNumberFormat="1" applyFont="1" applyFill="1" applyAlignment="1">
      <alignment/>
    </xf>
    <xf numFmtId="0" fontId="0" fillId="42" borderId="0" xfId="0" applyFill="1" applyAlignment="1">
      <alignment/>
    </xf>
    <xf numFmtId="2" fontId="0" fillId="0" borderId="0" xfId="0" applyNumberFormat="1" applyAlignment="1">
      <alignment horizontal="left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33" borderId="13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36" borderId="14" xfId="0" applyFont="1" applyFill="1" applyBorder="1" applyAlignment="1" applyProtection="1">
      <alignment horizontal="right"/>
      <protection/>
    </xf>
    <xf numFmtId="0" fontId="1" fillId="36" borderId="15" xfId="0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1" fillId="33" borderId="16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2" fillId="36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42" borderId="0" xfId="0" applyFill="1" applyAlignment="1">
      <alignment horizontal="center"/>
    </xf>
    <xf numFmtId="0" fontId="0" fillId="42" borderId="0" xfId="0" applyFill="1" applyAlignment="1">
      <alignment horizontal="right"/>
    </xf>
    <xf numFmtId="0" fontId="27" fillId="0" borderId="0" xfId="0" applyFont="1" applyFill="1" applyBorder="1" applyAlignment="1" applyProtection="1">
      <alignment/>
      <protection/>
    </xf>
    <xf numFmtId="171" fontId="2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71" fontId="24" fillId="0" borderId="0" xfId="0" applyNumberFormat="1" applyFont="1" applyAlignment="1">
      <alignment horizontal="right"/>
    </xf>
    <xf numFmtId="0" fontId="24" fillId="0" borderId="0" xfId="0" applyFont="1" applyFill="1" applyBorder="1" applyAlignment="1">
      <alignment/>
    </xf>
    <xf numFmtId="2" fontId="2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4" fillId="0" borderId="0" xfId="0" applyFont="1" applyAlignment="1" applyProtection="1">
      <alignment/>
      <protection locked="0"/>
    </xf>
    <xf numFmtId="171" fontId="27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  <xf numFmtId="171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44" borderId="10" xfId="0" applyFill="1" applyBorder="1" applyAlignment="1">
      <alignment/>
    </xf>
    <xf numFmtId="0" fontId="2" fillId="44" borderId="10" xfId="0" applyFont="1" applyFill="1" applyBorder="1" applyAlignment="1">
      <alignment/>
    </xf>
    <xf numFmtId="0" fontId="0" fillId="44" borderId="10" xfId="0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41" borderId="0" xfId="0" applyFont="1" applyFill="1" applyAlignment="1">
      <alignment/>
    </xf>
    <xf numFmtId="0" fontId="0" fillId="41" borderId="0" xfId="0" applyFill="1" applyAlignment="1">
      <alignment/>
    </xf>
    <xf numFmtId="0" fontId="2" fillId="41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42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40" borderId="0" xfId="0" applyFont="1" applyFill="1" applyAlignment="1">
      <alignment/>
    </xf>
    <xf numFmtId="0" fontId="0" fillId="45" borderId="0" xfId="0" applyFill="1" applyAlignment="1">
      <alignment/>
    </xf>
    <xf numFmtId="0" fontId="6" fillId="45" borderId="0" xfId="0" applyFont="1" applyFill="1" applyAlignment="1">
      <alignment/>
    </xf>
    <xf numFmtId="0" fontId="5" fillId="45" borderId="0" xfId="0" applyFont="1" applyFill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171" fontId="35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0" fontId="2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center"/>
      <protection locked="0"/>
    </xf>
    <xf numFmtId="0" fontId="0" fillId="41" borderId="0" xfId="0" applyFill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9" fontId="0" fillId="42" borderId="0" xfId="0" applyNumberForma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46" borderId="19" xfId="0" applyFont="1" applyFill="1" applyBorder="1" applyAlignment="1" applyProtection="1">
      <alignment horizontal="center"/>
      <protection/>
    </xf>
    <xf numFmtId="0" fontId="38" fillId="46" borderId="20" xfId="0" applyFont="1" applyFill="1" applyBorder="1" applyAlignment="1" applyProtection="1">
      <alignment horizontal="center"/>
      <protection/>
    </xf>
    <xf numFmtId="0" fontId="36" fillId="46" borderId="21" xfId="0" applyFont="1" applyFill="1" applyBorder="1" applyAlignment="1" applyProtection="1">
      <alignment horizontal="center"/>
      <protection/>
    </xf>
    <xf numFmtId="0" fontId="1" fillId="47" borderId="19" xfId="0" applyFont="1" applyFill="1" applyBorder="1" applyAlignment="1" applyProtection="1">
      <alignment horizontal="center"/>
      <protection/>
    </xf>
    <xf numFmtId="0" fontId="1" fillId="47" borderId="22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0" fillId="48" borderId="14" xfId="0" applyFill="1" applyBorder="1" applyAlignment="1" applyProtection="1">
      <alignment horizontal="center"/>
      <protection/>
    </xf>
    <xf numFmtId="0" fontId="0" fillId="48" borderId="15" xfId="0" applyFill="1" applyBorder="1" applyAlignment="1" applyProtection="1">
      <alignment horizontal="center"/>
      <protection/>
    </xf>
    <xf numFmtId="0" fontId="0" fillId="49" borderId="0" xfId="0" applyFill="1" applyAlignment="1">
      <alignment horizontal="center"/>
    </xf>
    <xf numFmtId="0" fontId="2" fillId="49" borderId="0" xfId="0" applyFont="1" applyFill="1" applyAlignment="1">
      <alignment horizontal="center"/>
    </xf>
    <xf numFmtId="0" fontId="0" fillId="49" borderId="0" xfId="0" applyFill="1" applyAlignment="1">
      <alignment horizontal="left"/>
    </xf>
    <xf numFmtId="0" fontId="4" fillId="0" borderId="0" xfId="0" applyFont="1" applyFill="1" applyBorder="1" applyAlignment="1">
      <alignment/>
    </xf>
    <xf numFmtId="0" fontId="1" fillId="45" borderId="18" xfId="0" applyFont="1" applyFill="1" applyBorder="1" applyAlignment="1" applyProtection="1">
      <alignment horizontal="center"/>
      <protection/>
    </xf>
    <xf numFmtId="0" fontId="1" fillId="41" borderId="23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2" fillId="39" borderId="21" xfId="0" applyFont="1" applyFill="1" applyBorder="1" applyAlignment="1" applyProtection="1">
      <alignment/>
      <protection/>
    </xf>
    <xf numFmtId="0" fontId="0" fillId="47" borderId="22" xfId="0" applyFill="1" applyBorder="1" applyAlignment="1" applyProtection="1">
      <alignment/>
      <protection/>
    </xf>
    <xf numFmtId="0" fontId="1" fillId="45" borderId="18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1" fillId="36" borderId="19" xfId="0" applyFont="1" applyFill="1" applyBorder="1" applyAlignment="1" applyProtection="1">
      <alignment/>
      <protection/>
    </xf>
    <xf numFmtId="0" fontId="1" fillId="36" borderId="20" xfId="0" applyFont="1" applyFill="1" applyBorder="1" applyAlignment="1" applyProtection="1">
      <alignment/>
      <protection/>
    </xf>
    <xf numFmtId="0" fontId="1" fillId="36" borderId="24" xfId="0" applyFont="1" applyFill="1" applyBorder="1" applyAlignment="1" applyProtection="1">
      <alignment/>
      <protection/>
    </xf>
    <xf numFmtId="0" fontId="1" fillId="37" borderId="14" xfId="0" applyFont="1" applyFill="1" applyBorder="1" applyAlignment="1" applyProtection="1">
      <alignment/>
      <protection/>
    </xf>
    <xf numFmtId="0" fontId="1" fillId="36" borderId="14" xfId="0" applyFont="1" applyFill="1" applyBorder="1" applyAlignment="1" applyProtection="1">
      <alignment/>
      <protection/>
    </xf>
    <xf numFmtId="0" fontId="1" fillId="37" borderId="15" xfId="0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0" fontId="2" fillId="48" borderId="24" xfId="0" applyFont="1" applyFill="1" applyBorder="1" applyAlignment="1" applyProtection="1">
      <alignment horizontal="center"/>
      <protection/>
    </xf>
    <xf numFmtId="0" fontId="2" fillId="48" borderId="14" xfId="0" applyFont="1" applyFill="1" applyBorder="1" applyAlignment="1" applyProtection="1">
      <alignment horizontal="center"/>
      <protection/>
    </xf>
    <xf numFmtId="0" fontId="40" fillId="36" borderId="14" xfId="0" applyFont="1" applyFill="1" applyBorder="1" applyAlignment="1" applyProtection="1">
      <alignment horizontal="center"/>
      <protection/>
    </xf>
    <xf numFmtId="2" fontId="1" fillId="33" borderId="1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/>
    </xf>
    <xf numFmtId="21" fontId="0" fillId="42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2" fillId="42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 horizontal="center"/>
      <protection locked="0"/>
    </xf>
    <xf numFmtId="0" fontId="1" fillId="33" borderId="26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2" fillId="41" borderId="27" xfId="0" applyFont="1" applyFill="1" applyBorder="1" applyAlignment="1" applyProtection="1">
      <alignment horizontal="center"/>
      <protection/>
    </xf>
    <xf numFmtId="0" fontId="1" fillId="33" borderId="28" xfId="0" applyFont="1" applyFill="1" applyBorder="1" applyAlignment="1" applyProtection="1">
      <alignment horizontal="center"/>
      <protection locked="0"/>
    </xf>
    <xf numFmtId="0" fontId="0" fillId="41" borderId="27" xfId="0" applyFill="1" applyBorder="1" applyAlignment="1" applyProtection="1">
      <alignment/>
      <protection/>
    </xf>
    <xf numFmtId="0" fontId="1" fillId="33" borderId="29" xfId="0" applyFont="1" applyFill="1" applyBorder="1" applyAlignment="1" applyProtection="1">
      <alignment horizontal="center"/>
      <protection locked="0"/>
    </xf>
    <xf numFmtId="0" fontId="2" fillId="41" borderId="27" xfId="0" applyFont="1" applyFill="1" applyBorder="1" applyAlignment="1" applyProtection="1">
      <alignment/>
      <protection/>
    </xf>
    <xf numFmtId="0" fontId="2" fillId="41" borderId="30" xfId="0" applyFont="1" applyFill="1" applyBorder="1" applyAlignment="1" applyProtection="1">
      <alignment horizontal="center"/>
      <protection/>
    </xf>
    <xf numFmtId="0" fontId="0" fillId="41" borderId="31" xfId="0" applyFill="1" applyBorder="1" applyAlignment="1" applyProtection="1">
      <alignment/>
      <protection/>
    </xf>
    <xf numFmtId="0" fontId="1" fillId="33" borderId="32" xfId="0" applyFont="1" applyFill="1" applyBorder="1" applyAlignment="1" applyProtection="1">
      <alignment horizontal="center"/>
      <protection locked="0"/>
    </xf>
    <xf numFmtId="0" fontId="1" fillId="45" borderId="33" xfId="0" applyFont="1" applyFill="1" applyBorder="1" applyAlignment="1" applyProtection="1">
      <alignment horizontal="center"/>
      <protection/>
    </xf>
    <xf numFmtId="0" fontId="1" fillId="45" borderId="28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/>
      <protection locked="0"/>
    </xf>
    <xf numFmtId="0" fontId="1" fillId="33" borderId="34" xfId="0" applyFont="1" applyFill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/>
      <protection/>
    </xf>
    <xf numFmtId="0" fontId="1" fillId="44" borderId="33" xfId="0" applyFont="1" applyFill="1" applyBorder="1" applyAlignment="1" applyProtection="1">
      <alignment horizontal="center"/>
      <protection/>
    </xf>
    <xf numFmtId="0" fontId="2" fillId="50" borderId="28" xfId="0" applyFont="1" applyFill="1" applyBorder="1" applyAlignment="1" applyProtection="1">
      <alignment horizontal="center"/>
      <protection locked="0"/>
    </xf>
    <xf numFmtId="0" fontId="1" fillId="44" borderId="17" xfId="0" applyFont="1" applyFill="1" applyBorder="1" applyAlignment="1" applyProtection="1">
      <alignment/>
      <protection/>
    </xf>
    <xf numFmtId="0" fontId="1" fillId="44" borderId="34" xfId="0" applyFont="1" applyFill="1" applyBorder="1" applyAlignment="1" applyProtection="1">
      <alignment/>
      <protection/>
    </xf>
    <xf numFmtId="0" fontId="37" fillId="51" borderId="36" xfId="0" applyFont="1" applyFill="1" applyBorder="1" applyAlignment="1" applyProtection="1">
      <alignment/>
      <protection/>
    </xf>
    <xf numFmtId="0" fontId="1" fillId="37" borderId="33" xfId="0" applyFont="1" applyFill="1" applyBorder="1" applyAlignment="1" applyProtection="1">
      <alignment/>
      <protection/>
    </xf>
    <xf numFmtId="0" fontId="1" fillId="37" borderId="17" xfId="0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/>
      <protection/>
    </xf>
    <xf numFmtId="0" fontId="1" fillId="37" borderId="34" xfId="0" applyFont="1" applyFill="1" applyBorder="1" applyAlignment="1" applyProtection="1">
      <alignment/>
      <protection/>
    </xf>
    <xf numFmtId="0" fontId="1" fillId="33" borderId="37" xfId="0" applyFont="1" applyFill="1" applyBorder="1" applyAlignment="1" applyProtection="1">
      <alignment horizontal="center"/>
      <protection locked="0"/>
    </xf>
    <xf numFmtId="0" fontId="1" fillId="33" borderId="38" xfId="0" applyFont="1" applyFill="1" applyBorder="1" applyAlignment="1" applyProtection="1">
      <alignment horizontal="center"/>
      <protection locked="0"/>
    </xf>
    <xf numFmtId="0" fontId="25" fillId="47" borderId="33" xfId="0" applyFont="1" applyFill="1" applyBorder="1" applyAlignment="1" applyProtection="1">
      <alignment/>
      <protection/>
    </xf>
    <xf numFmtId="0" fontId="1" fillId="33" borderId="28" xfId="0" applyFont="1" applyFill="1" applyBorder="1" applyAlignment="1" applyProtection="1">
      <alignment/>
      <protection locked="0"/>
    </xf>
    <xf numFmtId="0" fontId="25" fillId="47" borderId="33" xfId="0" applyFont="1" applyFill="1" applyBorder="1" applyAlignment="1" applyProtection="1">
      <alignment horizontal="left"/>
      <protection/>
    </xf>
    <xf numFmtId="0" fontId="1" fillId="33" borderId="17" xfId="0" applyFont="1" applyFill="1" applyBorder="1" applyAlignment="1" applyProtection="1">
      <alignment/>
      <protection locked="0"/>
    </xf>
    <xf numFmtId="0" fontId="1" fillId="33" borderId="34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6" fillId="52" borderId="39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1" fillId="33" borderId="40" xfId="0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right"/>
      <protection/>
    </xf>
    <xf numFmtId="0" fontId="2" fillId="33" borderId="23" xfId="0" applyFont="1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/>
      <protection/>
    </xf>
    <xf numFmtId="0" fontId="1" fillId="33" borderId="41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2" fontId="1" fillId="33" borderId="28" xfId="0" applyNumberFormat="1" applyFont="1" applyFill="1" applyBorder="1" applyAlignment="1" applyProtection="1">
      <alignment horizontal="center"/>
      <protection locked="0"/>
    </xf>
    <xf numFmtId="2" fontId="1" fillId="33" borderId="25" xfId="0" applyNumberFormat="1" applyFont="1" applyFill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/>
    </xf>
    <xf numFmtId="2" fontId="1" fillId="33" borderId="32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29" xfId="0" applyFont="1" applyFill="1" applyBorder="1" applyAlignment="1" applyProtection="1">
      <alignment horizontal="center"/>
      <protection locked="0"/>
    </xf>
    <xf numFmtId="0" fontId="1" fillId="33" borderId="26" xfId="0" applyFont="1" applyFill="1" applyBorder="1" applyAlignment="1" applyProtection="1">
      <alignment horizontal="center"/>
      <protection locked="0"/>
    </xf>
    <xf numFmtId="0" fontId="1" fillId="33" borderId="32" xfId="0" applyFont="1" applyFill="1" applyBorder="1" applyAlignment="1" applyProtection="1">
      <alignment horizontal="center"/>
      <protection locked="0"/>
    </xf>
    <xf numFmtId="0" fontId="1" fillId="33" borderId="42" xfId="0" applyFont="1" applyFill="1" applyBorder="1" applyAlignment="1" applyProtection="1">
      <alignment horizontal="center"/>
      <protection locked="0"/>
    </xf>
    <xf numFmtId="0" fontId="1" fillId="33" borderId="43" xfId="0" applyFont="1" applyFill="1" applyBorder="1" applyAlignment="1" applyProtection="1">
      <alignment horizontal="center"/>
      <protection locked="0"/>
    </xf>
    <xf numFmtId="0" fontId="40" fillId="33" borderId="44" xfId="0" applyFont="1" applyFill="1" applyBorder="1" applyAlignment="1" applyProtection="1">
      <alignment horizontal="center"/>
      <protection locked="0"/>
    </xf>
    <xf numFmtId="0" fontId="40" fillId="33" borderId="37" xfId="0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28" xfId="0" applyFont="1" applyFill="1" applyBorder="1" applyAlignment="1" applyProtection="1">
      <alignment horizontal="center"/>
      <protection locked="0"/>
    </xf>
    <xf numFmtId="0" fontId="1" fillId="36" borderId="45" xfId="0" applyFont="1" applyFill="1" applyBorder="1" applyAlignment="1" applyProtection="1">
      <alignment horizontal="center"/>
      <protection/>
    </xf>
    <xf numFmtId="0" fontId="1" fillId="36" borderId="23" xfId="0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2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36" fillId="51" borderId="45" xfId="0" applyFont="1" applyFill="1" applyBorder="1" applyAlignment="1" applyProtection="1">
      <alignment horizontal="center"/>
      <protection/>
    </xf>
    <xf numFmtId="0" fontId="36" fillId="51" borderId="23" xfId="0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/>
      <protection locked="0"/>
    </xf>
    <xf numFmtId="0" fontId="1" fillId="33" borderId="46" xfId="0" applyFont="1" applyFill="1" applyBorder="1" applyAlignment="1" applyProtection="1">
      <alignment horizontal="center"/>
      <protection locked="0"/>
    </xf>
    <xf numFmtId="0" fontId="36" fillId="34" borderId="15" xfId="0" applyFont="1" applyFill="1" applyBorder="1" applyAlignment="1" applyProtection="1">
      <alignment/>
      <protection/>
    </xf>
    <xf numFmtId="0" fontId="1" fillId="47" borderId="45" xfId="0" applyFont="1" applyFill="1" applyBorder="1" applyAlignment="1" applyProtection="1">
      <alignment horizontal="center"/>
      <protection/>
    </xf>
    <xf numFmtId="0" fontId="36" fillId="53" borderId="18" xfId="0" applyFont="1" applyFill="1" applyBorder="1" applyAlignment="1" applyProtection="1">
      <alignment horizontal="center"/>
      <protection/>
    </xf>
    <xf numFmtId="0" fontId="36" fillId="53" borderId="33" xfId="0" applyFont="1" applyFill="1" applyBorder="1" applyAlignment="1" applyProtection="1">
      <alignment horizontal="center"/>
      <protection/>
    </xf>
    <xf numFmtId="0" fontId="36" fillId="53" borderId="28" xfId="0" applyFont="1" applyFill="1" applyBorder="1" applyAlignment="1" applyProtection="1">
      <alignment horizontal="center"/>
      <protection/>
    </xf>
    <xf numFmtId="0" fontId="0" fillId="41" borderId="36" xfId="0" applyFill="1" applyBorder="1" applyAlignment="1" applyProtection="1">
      <alignment horizontal="center"/>
      <protection/>
    </xf>
    <xf numFmtId="0" fontId="1" fillId="41" borderId="45" xfId="0" applyFont="1" applyFill="1" applyBorder="1" applyAlignment="1" applyProtection="1">
      <alignment horizontal="center"/>
      <protection/>
    </xf>
    <xf numFmtId="0" fontId="0" fillId="45" borderId="45" xfId="0" applyFill="1" applyBorder="1" applyAlignment="1" applyProtection="1">
      <alignment/>
      <protection/>
    </xf>
    <xf numFmtId="0" fontId="1" fillId="0" borderId="47" xfId="0" applyFont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40" fillId="33" borderId="49" xfId="0" applyFont="1" applyFill="1" applyBorder="1" applyAlignment="1" applyProtection="1">
      <alignment horizontal="center"/>
      <protection locked="0"/>
    </xf>
    <xf numFmtId="0" fontId="2" fillId="33" borderId="50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37" borderId="0" xfId="0" applyFont="1" applyFill="1" applyAlignment="1">
      <alignment/>
    </xf>
    <xf numFmtId="1" fontId="4" fillId="37" borderId="0" xfId="0" applyNumberFormat="1" applyFont="1" applyFill="1" applyAlignment="1">
      <alignment horizontal="left"/>
    </xf>
    <xf numFmtId="0" fontId="2" fillId="35" borderId="0" xfId="0" applyFont="1" applyFill="1" applyAlignment="1">
      <alignment horizontal="right"/>
    </xf>
    <xf numFmtId="0" fontId="2" fillId="35" borderId="0" xfId="0" applyFont="1" applyFill="1" applyAlignment="1">
      <alignment horizontal="left"/>
    </xf>
    <xf numFmtId="0" fontId="2" fillId="35" borderId="0" xfId="0" applyFont="1" applyFill="1" applyAlignment="1">
      <alignment horizontal="center"/>
    </xf>
    <xf numFmtId="0" fontId="7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1" fillId="34" borderId="22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0" fillId="0" borderId="20" xfId="0" applyBorder="1" applyAlignment="1" applyProtection="1">
      <alignment/>
      <protection/>
    </xf>
    <xf numFmtId="0" fontId="1" fillId="34" borderId="18" xfId="0" applyFont="1" applyFill="1" applyBorder="1" applyAlignment="1" applyProtection="1">
      <alignment/>
      <protection/>
    </xf>
    <xf numFmtId="0" fontId="1" fillId="34" borderId="18" xfId="0" applyFont="1" applyFill="1" applyBorder="1" applyAlignment="1" applyProtection="1">
      <alignment/>
      <protection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3" borderId="51" xfId="0" applyFont="1" applyFill="1" applyBorder="1" applyAlignment="1" applyProtection="1">
      <alignment horizontal="center"/>
      <protection locked="0"/>
    </xf>
    <xf numFmtId="0" fontId="1" fillId="33" borderId="52" xfId="0" applyFont="1" applyFill="1" applyBorder="1" applyAlignment="1" applyProtection="1">
      <alignment horizontal="center"/>
      <protection locked="0"/>
    </xf>
    <xf numFmtId="0" fontId="1" fillId="33" borderId="53" xfId="0" applyFont="1" applyFill="1" applyBorder="1" applyAlignment="1" applyProtection="1">
      <alignment horizontal="center"/>
      <protection locked="0"/>
    </xf>
    <xf numFmtId="0" fontId="1" fillId="33" borderId="36" xfId="0" applyFont="1" applyFill="1" applyBorder="1" applyAlignment="1" applyProtection="1">
      <alignment horizontal="center"/>
      <protection locked="0"/>
    </xf>
    <xf numFmtId="0" fontId="25" fillId="0" borderId="45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46" fillId="54" borderId="0" xfId="0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79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33" borderId="15" xfId="0" applyFont="1" applyFill="1" applyBorder="1" applyAlignment="1" applyProtection="1">
      <alignment/>
      <protection locked="0"/>
    </xf>
    <xf numFmtId="0" fontId="1" fillId="33" borderId="54" xfId="0" applyFont="1" applyFill="1" applyBorder="1" applyAlignment="1" applyProtection="1">
      <alignment horizontal="center"/>
      <protection locked="0"/>
    </xf>
    <xf numFmtId="0" fontId="1" fillId="33" borderId="55" xfId="0" applyFont="1" applyFill="1" applyBorder="1" applyAlignment="1" applyProtection="1">
      <alignment horizontal="center"/>
      <protection locked="0"/>
    </xf>
    <xf numFmtId="0" fontId="0" fillId="44" borderId="56" xfId="0" applyFill="1" applyBorder="1" applyAlignment="1">
      <alignment/>
    </xf>
    <xf numFmtId="2" fontId="2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40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1" fontId="7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0" fontId="5" fillId="43" borderId="0" xfId="0" applyFont="1" applyFill="1" applyAlignment="1">
      <alignment/>
    </xf>
    <xf numFmtId="0" fontId="4" fillId="43" borderId="0" xfId="0" applyFont="1" applyFill="1" applyAlignment="1">
      <alignment/>
    </xf>
    <xf numFmtId="0" fontId="18" fillId="43" borderId="0" xfId="0" applyFont="1" applyFill="1" applyAlignment="1">
      <alignment/>
    </xf>
    <xf numFmtId="0" fontId="27" fillId="0" borderId="0" xfId="0" applyFont="1" applyAlignment="1" applyProtection="1">
      <alignment/>
      <protection locked="0"/>
    </xf>
    <xf numFmtId="0" fontId="0" fillId="43" borderId="0" xfId="0" applyFill="1" applyAlignment="1">
      <alignment/>
    </xf>
    <xf numFmtId="0" fontId="0" fillId="55" borderId="10" xfId="0" applyFill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50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52" fillId="0" borderId="0" xfId="0" applyNumberFormat="1" applyFont="1" applyFill="1" applyBorder="1" applyAlignment="1">
      <alignment/>
    </xf>
    <xf numFmtId="0" fontId="24" fillId="55" borderId="10" xfId="0" applyFont="1" applyFill="1" applyBorder="1" applyAlignment="1" applyProtection="1">
      <alignment/>
      <protection locked="0"/>
    </xf>
    <xf numFmtId="0" fontId="0" fillId="55" borderId="10" xfId="0" applyFill="1" applyBorder="1" applyAlignment="1" applyProtection="1">
      <alignment/>
      <protection locked="0"/>
    </xf>
    <xf numFmtId="0" fontId="24" fillId="55" borderId="10" xfId="0" applyFont="1" applyFill="1" applyBorder="1" applyAlignment="1" applyProtection="1">
      <alignment/>
      <protection locked="0"/>
    </xf>
    <xf numFmtId="171" fontId="24" fillId="55" borderId="10" xfId="0" applyNumberFormat="1" applyFont="1" applyFill="1" applyBorder="1" applyAlignment="1" applyProtection="1">
      <alignment/>
      <protection locked="0"/>
    </xf>
    <xf numFmtId="171" fontId="0" fillId="42" borderId="0" xfId="0" applyNumberFormat="1" applyFill="1" applyAlignment="1">
      <alignment/>
    </xf>
    <xf numFmtId="0" fontId="0" fillId="56" borderId="0" xfId="0" applyFill="1" applyAlignment="1">
      <alignment/>
    </xf>
    <xf numFmtId="0" fontId="0" fillId="56" borderId="0" xfId="0" applyFill="1" applyAlignment="1">
      <alignment horizontal="left"/>
    </xf>
    <xf numFmtId="0" fontId="0" fillId="33" borderId="1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171" fontId="0" fillId="0" borderId="0" xfId="0" applyNumberForma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left"/>
      <protection/>
    </xf>
    <xf numFmtId="170" fontId="0" fillId="0" borderId="0" xfId="0" applyNumberFormat="1" applyFill="1" applyBorder="1" applyAlignment="1" applyProtection="1">
      <alignment horizontal="left"/>
      <protection/>
    </xf>
    <xf numFmtId="0" fontId="1" fillId="57" borderId="39" xfId="0" applyFont="1" applyFill="1" applyBorder="1" applyAlignment="1" applyProtection="1">
      <alignment/>
      <protection/>
    </xf>
    <xf numFmtId="0" fontId="25" fillId="57" borderId="57" xfId="0" applyFont="1" applyFill="1" applyBorder="1" applyAlignment="1" applyProtection="1">
      <alignment/>
      <protection/>
    </xf>
    <xf numFmtId="0" fontId="1" fillId="0" borderId="58" xfId="0" applyFont="1" applyBorder="1" applyAlignment="1" applyProtection="1">
      <alignment/>
      <protection/>
    </xf>
    <xf numFmtId="0" fontId="1" fillId="0" borderId="59" xfId="0" applyFont="1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56" fillId="57" borderId="0" xfId="0" applyFont="1" applyFill="1" applyBorder="1" applyAlignment="1" applyProtection="1">
      <alignment/>
      <protection/>
    </xf>
    <xf numFmtId="0" fontId="37" fillId="57" borderId="0" xfId="0" applyFont="1" applyFill="1" applyBorder="1" applyAlignment="1" applyProtection="1">
      <alignment/>
      <protection/>
    </xf>
    <xf numFmtId="0" fontId="56" fillId="57" borderId="35" xfId="0" applyFont="1" applyFill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0" xfId="0" applyNumberFormat="1" applyAlignment="1">
      <alignment/>
    </xf>
    <xf numFmtId="4" fontId="24" fillId="0" borderId="0" xfId="0" applyNumberFormat="1" applyFont="1" applyAlignment="1" applyProtection="1">
      <alignment/>
      <protection/>
    </xf>
    <xf numFmtId="4" fontId="24" fillId="0" borderId="0" xfId="0" applyNumberFormat="1" applyFont="1" applyAlignment="1" applyProtection="1">
      <alignment/>
      <protection locked="0"/>
    </xf>
    <xf numFmtId="171" fontId="0" fillId="0" borderId="10" xfId="0" applyNumberFormat="1" applyBorder="1" applyAlignment="1">
      <alignment/>
    </xf>
    <xf numFmtId="171" fontId="7" fillId="0" borderId="10" xfId="0" applyNumberFormat="1" applyFont="1" applyBorder="1" applyAlignment="1">
      <alignment horizontal="right"/>
    </xf>
    <xf numFmtId="171" fontId="0" fillId="0" borderId="10" xfId="0" applyNumberFormat="1" applyBorder="1" applyAlignment="1">
      <alignment horizontal="right"/>
    </xf>
    <xf numFmtId="171" fontId="34" fillId="0" borderId="10" xfId="0" applyNumberFormat="1" applyFont="1" applyBorder="1" applyAlignment="1">
      <alignment horizontal="right"/>
    </xf>
    <xf numFmtId="171" fontId="5" fillId="0" borderId="10" xfId="0" applyNumberFormat="1" applyFont="1" applyBorder="1" applyAlignment="1">
      <alignment horizontal="right"/>
    </xf>
    <xf numFmtId="171" fontId="34" fillId="0" borderId="10" xfId="0" applyNumberFormat="1" applyFont="1" applyBorder="1" applyAlignment="1">
      <alignment horizontal="right"/>
    </xf>
    <xf numFmtId="171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34" borderId="20" xfId="0" applyFill="1" applyBorder="1" applyAlignment="1" applyProtection="1">
      <alignment/>
      <protection/>
    </xf>
    <xf numFmtId="0" fontId="0" fillId="55" borderId="21" xfId="0" applyFill="1" applyBorder="1" applyAlignment="1" applyProtection="1">
      <alignment horizontal="center"/>
      <protection/>
    </xf>
    <xf numFmtId="1" fontId="34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0" fillId="58" borderId="0" xfId="0" applyFill="1" applyAlignment="1">
      <alignment/>
    </xf>
    <xf numFmtId="0" fontId="57" fillId="58" borderId="0" xfId="0" applyFont="1" applyFill="1" applyAlignment="1">
      <alignment/>
    </xf>
    <xf numFmtId="0" fontId="19" fillId="58" borderId="0" xfId="0" applyFont="1" applyFill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 applyProtection="1">
      <alignment horizontal="right"/>
      <protection/>
    </xf>
    <xf numFmtId="0" fontId="24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19" fillId="45" borderId="0" xfId="0" applyFont="1" applyFill="1" applyAlignment="1">
      <alignment/>
    </xf>
    <xf numFmtId="4" fontId="27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right"/>
    </xf>
    <xf numFmtId="0" fontId="0" fillId="43" borderId="10" xfId="0" applyFill="1" applyBorder="1" applyAlignment="1">
      <alignment/>
    </xf>
    <xf numFmtId="4" fontId="63" fillId="0" borderId="0" xfId="0" applyNumberFormat="1" applyFont="1" applyAlignment="1" applyProtection="1">
      <alignment/>
      <protection/>
    </xf>
    <xf numFmtId="0" fontId="35" fillId="0" borderId="0" xfId="0" applyFont="1" applyFill="1" applyBorder="1" applyAlignment="1">
      <alignment/>
    </xf>
    <xf numFmtId="0" fontId="35" fillId="0" borderId="0" xfId="0" applyFont="1" applyAlignment="1">
      <alignment horizontal="right"/>
    </xf>
    <xf numFmtId="0" fontId="6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vertical="top"/>
      <protection locked="0"/>
    </xf>
    <xf numFmtId="0" fontId="0" fillId="33" borderId="11" xfId="0" applyFill="1" applyBorder="1" applyAlignment="1" applyProtection="1">
      <alignment horizontal="left" vertical="top"/>
      <protection locked="0"/>
    </xf>
    <xf numFmtId="0" fontId="0" fillId="33" borderId="60" xfId="0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1" fillId="36" borderId="57" xfId="0" applyFont="1" applyFill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1" fillId="36" borderId="39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5" fillId="47" borderId="61" xfId="0" applyFont="1" applyFill="1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2" fillId="48" borderId="19" xfId="0" applyFont="1" applyFill="1" applyBorder="1" applyAlignment="1" applyProtection="1">
      <alignment horizontal="left"/>
      <protection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34" borderId="62" xfId="0" applyFont="1" applyFill="1" applyBorder="1" applyAlignment="1" applyProtection="1">
      <alignment horizontal="left"/>
      <protection/>
    </xf>
    <xf numFmtId="0" fontId="0" fillId="0" borderId="63" xfId="0" applyBorder="1" applyAlignment="1" applyProtection="1">
      <alignment/>
      <protection/>
    </xf>
    <xf numFmtId="0" fontId="1" fillId="34" borderId="39" xfId="0" applyFont="1" applyFill="1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1" fillId="47" borderId="65" xfId="0" applyFont="1" applyFill="1" applyBorder="1" applyAlignment="1" applyProtection="1">
      <alignment horizontal="left"/>
      <protection/>
    </xf>
    <xf numFmtId="0" fontId="0" fillId="0" borderId="66" xfId="0" applyBorder="1" applyAlignment="1" applyProtection="1">
      <alignment horizontal="left"/>
      <protection/>
    </xf>
    <xf numFmtId="0" fontId="25" fillId="36" borderId="19" xfId="0" applyFont="1" applyFill="1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25" fillId="47" borderId="19" xfId="0" applyFont="1" applyFill="1" applyBorder="1" applyAlignment="1" applyProtection="1">
      <alignment horizontal="left"/>
      <protection/>
    </xf>
    <xf numFmtId="0" fontId="0" fillId="0" borderId="20" xfId="0" applyBorder="1" applyAlignment="1" applyProtection="1">
      <alignment/>
      <protection/>
    </xf>
    <xf numFmtId="0" fontId="1" fillId="45" borderId="36" xfId="0" applyFont="1" applyFill="1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1" fillId="36" borderId="19" xfId="0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" fillId="36" borderId="62" xfId="0" applyFont="1" applyFill="1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32" fillId="0" borderId="20" xfId="0" applyFont="1" applyBorder="1" applyAlignment="1" applyProtection="1">
      <alignment/>
      <protection/>
    </xf>
    <xf numFmtId="0" fontId="1" fillId="47" borderId="57" xfId="0" applyFont="1" applyFill="1" applyBorder="1" applyAlignment="1" applyProtection="1">
      <alignment/>
      <protection/>
    </xf>
    <xf numFmtId="0" fontId="0" fillId="0" borderId="68" xfId="0" applyBorder="1" applyAlignment="1" applyProtection="1">
      <alignment/>
      <protection/>
    </xf>
    <xf numFmtId="0" fontId="29" fillId="45" borderId="62" xfId="0" applyFont="1" applyFill="1" applyBorder="1" applyAlignment="1" applyProtection="1">
      <alignment/>
      <protection/>
    </xf>
    <xf numFmtId="0" fontId="1" fillId="45" borderId="45" xfId="0" applyFont="1" applyFill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47" borderId="62" xfId="0" applyFont="1" applyFill="1" applyBorder="1" applyAlignment="1" applyProtection="1">
      <alignment/>
      <protection/>
    </xf>
    <xf numFmtId="0" fontId="1" fillId="47" borderId="39" xfId="0" applyFont="1" applyFill="1" applyBorder="1" applyAlignment="1" applyProtection="1">
      <alignment/>
      <protection/>
    </xf>
    <xf numFmtId="0" fontId="37" fillId="45" borderId="57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36" fillId="53" borderId="19" xfId="0" applyFont="1" applyFill="1" applyBorder="1" applyAlignment="1" applyProtection="1">
      <alignment horizontal="left"/>
      <protection/>
    </xf>
    <xf numFmtId="0" fontId="1" fillId="34" borderId="57" xfId="0" applyFont="1" applyFill="1" applyBorder="1" applyAlignment="1" applyProtection="1">
      <alignment/>
      <protection/>
    </xf>
    <xf numFmtId="0" fontId="25" fillId="47" borderId="19" xfId="0" applyFont="1" applyFill="1" applyBorder="1" applyAlignment="1" applyProtection="1">
      <alignment/>
      <protection/>
    </xf>
    <xf numFmtId="0" fontId="1" fillId="44" borderId="61" xfId="0" applyFont="1" applyFill="1" applyBorder="1" applyAlignment="1" applyProtection="1">
      <alignment/>
      <protection/>
    </xf>
    <xf numFmtId="0" fontId="0" fillId="0" borderId="37" xfId="0" applyBorder="1" applyAlignment="1">
      <alignment/>
    </xf>
    <xf numFmtId="0" fontId="22" fillId="34" borderId="39" xfId="0" applyFont="1" applyFill="1" applyBorder="1" applyAlignment="1" applyProtection="1">
      <alignment/>
      <protection/>
    </xf>
    <xf numFmtId="0" fontId="0" fillId="0" borderId="64" xfId="0" applyBorder="1" applyAlignment="1">
      <alignment/>
    </xf>
    <xf numFmtId="0" fontId="39" fillId="34" borderId="39" xfId="0" applyFont="1" applyFill="1" applyBorder="1" applyAlignment="1" applyProtection="1">
      <alignment/>
      <protection/>
    </xf>
    <xf numFmtId="0" fontId="1" fillId="37" borderId="19" xfId="0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25" fillId="37" borderId="19" xfId="0" applyFont="1" applyFill="1" applyBorder="1" applyAlignment="1" applyProtection="1">
      <alignment/>
      <protection/>
    </xf>
    <xf numFmtId="0" fontId="25" fillId="44" borderId="19" xfId="0" applyFont="1" applyFill="1" applyBorder="1" applyAlignment="1" applyProtection="1">
      <alignment/>
      <protection/>
    </xf>
    <xf numFmtId="0" fontId="36" fillId="59" borderId="19" xfId="0" applyFont="1" applyFill="1" applyBorder="1" applyAlignment="1" applyProtection="1">
      <alignment/>
      <protection/>
    </xf>
    <xf numFmtId="0" fontId="25" fillId="34" borderId="19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9" fillId="0" borderId="35" xfId="0" applyFont="1" applyBorder="1" applyAlignment="1" applyProtection="1">
      <alignment/>
      <protection/>
    </xf>
    <xf numFmtId="0" fontId="32" fillId="39" borderId="19" xfId="0" applyFont="1" applyFill="1" applyBorder="1" applyAlignment="1" applyProtection="1">
      <alignment/>
      <protection/>
    </xf>
    <xf numFmtId="0" fontId="1" fillId="57" borderId="62" xfId="0" applyFont="1" applyFill="1" applyBorder="1" applyAlignment="1" applyProtection="1">
      <alignment/>
      <protection/>
    </xf>
    <xf numFmtId="0" fontId="0" fillId="57" borderId="67" xfId="0" applyFill="1" applyBorder="1" applyAlignment="1" applyProtection="1">
      <alignment/>
      <protection/>
    </xf>
    <xf numFmtId="0" fontId="25" fillId="34" borderId="19" xfId="0" applyFont="1" applyFill="1" applyBorder="1" applyAlignment="1" applyProtection="1">
      <alignment/>
      <protection/>
    </xf>
    <xf numFmtId="0" fontId="36" fillId="46" borderId="20" xfId="0" applyFont="1" applyFill="1" applyBorder="1" applyAlignment="1" applyProtection="1">
      <alignment horizontal="right"/>
      <protection/>
    </xf>
    <xf numFmtId="0" fontId="0" fillId="0" borderId="22" xfId="0" applyBorder="1" applyAlignment="1" applyProtection="1">
      <alignment horizontal="right"/>
      <protection/>
    </xf>
    <xf numFmtId="0" fontId="36" fillId="45" borderId="19" xfId="0" applyFont="1" applyFill="1" applyBorder="1" applyAlignment="1" applyProtection="1">
      <alignment/>
      <protection/>
    </xf>
    <xf numFmtId="0" fontId="36" fillId="60" borderId="19" xfId="0" applyFont="1" applyFill="1" applyBorder="1" applyAlignment="1" applyProtection="1">
      <alignment horizontal="left"/>
      <protection/>
    </xf>
    <xf numFmtId="0" fontId="37" fillId="45" borderId="19" xfId="0" applyFont="1" applyFill="1" applyBorder="1" applyAlignment="1" applyProtection="1">
      <alignment/>
      <protection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4" fillId="0" borderId="0" xfId="0" applyFont="1" applyAlignment="1" applyProtection="1">
      <alignment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342900</xdr:colOff>
      <xdr:row>51</xdr:row>
      <xdr:rowOff>47625</xdr:rowOff>
    </xdr:from>
    <xdr:to>
      <xdr:col>11</xdr:col>
      <xdr:colOff>352425</xdr:colOff>
      <xdr:row>58</xdr:row>
      <xdr:rowOff>38100</xdr:rowOff>
    </xdr:to>
    <xdr:pic>
      <xdr:nvPicPr>
        <xdr:cNvPr id="1" name="Picture 390" descr="tungif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905875"/>
          <a:ext cx="685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>
      <xdr:nvSpPr>
        <xdr:cNvPr id="2" name="Line 25"/>
        <xdr:cNvSpPr>
          <a:spLocks/>
        </xdr:cNvSpPr>
      </xdr:nvSpPr>
      <xdr:spPr>
        <a:xfrm>
          <a:off x="3990975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3" name="Line 39"/>
        <xdr:cNvSpPr>
          <a:spLocks/>
        </xdr:cNvSpPr>
      </xdr:nvSpPr>
      <xdr:spPr>
        <a:xfrm>
          <a:off x="36957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</xdr:col>
      <xdr:colOff>0</xdr:colOff>
      <xdr:row>47</xdr:row>
      <xdr:rowOff>133350</xdr:rowOff>
    </xdr:from>
    <xdr:to>
      <xdr:col>20</xdr:col>
      <xdr:colOff>476250</xdr:colOff>
      <xdr:row>58</xdr:row>
      <xdr:rowOff>57150</xdr:rowOff>
    </xdr:to>
    <xdr:grpSp>
      <xdr:nvGrpSpPr>
        <xdr:cNvPr id="4" name="Group 341"/>
        <xdr:cNvGrpSpPr>
          <a:grpSpLocks/>
        </xdr:cNvGrpSpPr>
      </xdr:nvGrpSpPr>
      <xdr:grpSpPr>
        <a:xfrm>
          <a:off x="6877050" y="8334375"/>
          <a:ext cx="1895475" cy="1781175"/>
          <a:chOff x="345" y="14"/>
          <a:chExt cx="157" cy="184"/>
        </a:xfrm>
        <a:solidFill>
          <a:srgbClr val="FFFFFF"/>
        </a:solidFill>
      </xdr:grpSpPr>
      <xdr:grpSp>
        <xdr:nvGrpSpPr>
          <xdr:cNvPr id="5" name="Group 342"/>
          <xdr:cNvGrpSpPr>
            <a:grpSpLocks/>
          </xdr:cNvGrpSpPr>
        </xdr:nvGrpSpPr>
        <xdr:grpSpPr>
          <a:xfrm>
            <a:off x="345" y="33"/>
            <a:ext cx="97" cy="159"/>
            <a:chOff x="345" y="33"/>
            <a:chExt cx="97" cy="159"/>
          </a:xfrm>
          <a:solidFill>
            <a:srgbClr val="FFFFFF"/>
          </a:solidFill>
        </xdr:grpSpPr>
        <xdr:sp>
          <xdr:nvSpPr>
            <xdr:cNvPr id="6" name="Line 343"/>
            <xdr:cNvSpPr>
              <a:spLocks/>
            </xdr:cNvSpPr>
          </xdr:nvSpPr>
          <xdr:spPr>
            <a:xfrm>
              <a:off x="361" y="43"/>
              <a:ext cx="0" cy="5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arrow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344"/>
            <xdr:cNvSpPr>
              <a:spLocks/>
            </xdr:cNvSpPr>
          </xdr:nvSpPr>
          <xdr:spPr>
            <a:xfrm>
              <a:off x="353" y="99"/>
              <a:ext cx="0" cy="3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arrow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345"/>
            <xdr:cNvSpPr>
              <a:spLocks/>
            </xdr:cNvSpPr>
          </xdr:nvSpPr>
          <xdr:spPr>
            <a:xfrm>
              <a:off x="353" y="132"/>
              <a:ext cx="0" cy="3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arrow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346"/>
            <xdr:cNvSpPr>
              <a:spLocks/>
            </xdr:cNvSpPr>
          </xdr:nvSpPr>
          <xdr:spPr>
            <a:xfrm>
              <a:off x="345" y="162"/>
              <a:ext cx="0" cy="3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arrow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347"/>
            <xdr:cNvSpPr>
              <a:spLocks/>
            </xdr:cNvSpPr>
          </xdr:nvSpPr>
          <xdr:spPr>
            <a:xfrm flipH="1">
              <a:off x="421" y="87"/>
              <a:ext cx="19" cy="1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348"/>
            <xdr:cNvSpPr>
              <a:spLocks/>
            </xdr:cNvSpPr>
          </xdr:nvSpPr>
          <xdr:spPr>
            <a:xfrm flipH="1">
              <a:off x="429" y="120"/>
              <a:ext cx="9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349"/>
            <xdr:cNvSpPr>
              <a:spLocks/>
            </xdr:cNvSpPr>
          </xdr:nvSpPr>
          <xdr:spPr>
            <a:xfrm flipV="1">
              <a:off x="438" y="151"/>
              <a:ext cx="4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350"/>
            <xdr:cNvSpPr>
              <a:spLocks/>
            </xdr:cNvSpPr>
          </xdr:nvSpPr>
          <xdr:spPr>
            <a:xfrm flipH="1">
              <a:off x="410" y="33"/>
              <a:ext cx="2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" name="Group 351"/>
          <xdr:cNvGrpSpPr>
            <a:grpSpLocks/>
          </xdr:cNvGrpSpPr>
        </xdr:nvGrpSpPr>
        <xdr:grpSpPr>
          <a:xfrm>
            <a:off x="345" y="14"/>
            <a:ext cx="157" cy="184"/>
            <a:chOff x="345" y="14"/>
            <a:chExt cx="157" cy="184"/>
          </a:xfrm>
          <a:solidFill>
            <a:srgbClr val="FFFFFF"/>
          </a:solidFill>
        </xdr:grpSpPr>
        <xdr:sp>
          <xdr:nvSpPr>
            <xdr:cNvPr id="15" name="Rectangle 352" descr="Granite"/>
            <xdr:cNvSpPr>
              <a:spLocks/>
            </xdr:cNvSpPr>
          </xdr:nvSpPr>
          <xdr:spPr>
            <a:xfrm>
              <a:off x="359" y="132"/>
              <a:ext cx="75" cy="31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6" name="Group 353"/>
            <xdr:cNvGrpSpPr>
              <a:grpSpLocks/>
            </xdr:cNvGrpSpPr>
          </xdr:nvGrpSpPr>
          <xdr:grpSpPr>
            <a:xfrm>
              <a:off x="345" y="162"/>
              <a:ext cx="102" cy="36"/>
              <a:chOff x="348" y="161"/>
              <a:chExt cx="114" cy="36"/>
            </a:xfrm>
            <a:solidFill>
              <a:srgbClr val="FFFFFF"/>
            </a:solidFill>
          </xdr:grpSpPr>
          <xdr:sp>
            <xdr:nvSpPr>
              <xdr:cNvPr id="17" name="Rectangle 354" descr="Granite"/>
              <xdr:cNvSpPr>
                <a:spLocks/>
              </xdr:cNvSpPr>
            </xdr:nvSpPr>
            <xdr:spPr>
              <a:xfrm>
                <a:off x="356" y="161"/>
                <a:ext cx="100" cy="3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" name="Rectangle 355" descr="Small confetti"/>
              <xdr:cNvSpPr>
                <a:spLocks/>
              </xdr:cNvSpPr>
            </xdr:nvSpPr>
            <xdr:spPr>
              <a:xfrm>
                <a:off x="348" y="192"/>
                <a:ext cx="114" cy="5"/>
              </a:xfrm>
              <a:prstGeom prst="rect">
                <a:avLst/>
              </a:prstGeom>
              <a:pattFill prst="smConfetti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9" name="Rectangle 356" descr="Granite"/>
            <xdr:cNvSpPr>
              <a:spLocks/>
            </xdr:cNvSpPr>
          </xdr:nvSpPr>
          <xdr:spPr>
            <a:xfrm>
              <a:off x="369" y="101"/>
              <a:ext cx="55" cy="3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Rectangle 357" descr="Granite"/>
            <xdr:cNvSpPr>
              <a:spLocks/>
            </xdr:cNvSpPr>
          </xdr:nvSpPr>
          <xdr:spPr>
            <a:xfrm>
              <a:off x="378" y="40"/>
              <a:ext cx="37" cy="61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358" descr="Horizontal brick"/>
            <xdr:cNvSpPr>
              <a:spLocks/>
            </xdr:cNvSpPr>
          </xdr:nvSpPr>
          <xdr:spPr>
            <a:xfrm>
              <a:off x="385" y="14"/>
              <a:ext cx="23" cy="26"/>
            </a:xfrm>
            <a:prstGeom prst="rect">
              <a:avLst/>
            </a:prstGeom>
            <a:pattFill prst="horzBrick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359"/>
            <xdr:cNvSpPr>
              <a:spLocks/>
            </xdr:cNvSpPr>
          </xdr:nvSpPr>
          <xdr:spPr>
            <a:xfrm>
              <a:off x="421" y="41"/>
              <a:ext cx="80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360"/>
            <xdr:cNvSpPr>
              <a:spLocks/>
            </xdr:cNvSpPr>
          </xdr:nvSpPr>
          <xdr:spPr>
            <a:xfrm>
              <a:off x="422" y="45"/>
              <a:ext cx="80" cy="0"/>
            </a:xfrm>
            <a:prstGeom prst="line">
              <a:avLst/>
            </a:prstGeom>
            <a:noFill/>
            <a:ln w="76200" cmpd="sng">
              <a:solidFill>
                <a:srgbClr val="CC66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361"/>
            <xdr:cNvSpPr>
              <a:spLocks/>
            </xdr:cNvSpPr>
          </xdr:nvSpPr>
          <xdr:spPr>
            <a:xfrm>
              <a:off x="436" y="101"/>
              <a:ext cx="66" cy="0"/>
            </a:xfrm>
            <a:prstGeom prst="line">
              <a:avLst/>
            </a:prstGeom>
            <a:noFill/>
            <a:ln w="76200" cmpd="sng">
              <a:solidFill>
                <a:srgbClr val="CC66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12</xdr:col>
      <xdr:colOff>0</xdr:colOff>
      <xdr:row>56</xdr:row>
      <xdr:rowOff>161925</xdr:rowOff>
    </xdr:from>
    <xdr:to>
      <xdr:col>15</xdr:col>
      <xdr:colOff>247650</xdr:colOff>
      <xdr:row>58</xdr:row>
      <xdr:rowOff>0</xdr:rowOff>
    </xdr:to>
    <xdr:sp>
      <xdr:nvSpPr>
        <xdr:cNvPr id="25" name="WordArt 381"/>
        <xdr:cNvSpPr>
          <a:spLocks/>
        </xdr:cNvSpPr>
      </xdr:nvSpPr>
      <xdr:spPr>
        <a:xfrm>
          <a:off x="4524375" y="9886950"/>
          <a:ext cx="1485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0" cmpd="sng">
                <a:noFill/>
              </a:ln>
              <a:solidFill>
                <a:srgbClr val="C0C0C0">
                  <a:alpha val="50000"/>
                </a:srgbClr>
              </a:solidFill>
              <a:latin typeface="Arial Black"/>
              <a:cs typeface="Arial Black"/>
            </a:rPr>
            <a:t>Mana Resort</a:t>
          </a:r>
        </a:p>
      </xdr:txBody>
    </xdr:sp>
    <xdr:clientData/>
  </xdr:twoCellAnchor>
  <xdr:twoCellAnchor editAs="absolute">
    <xdr:from>
      <xdr:col>1</xdr:col>
      <xdr:colOff>19050</xdr:colOff>
      <xdr:row>3</xdr:row>
      <xdr:rowOff>38100</xdr:rowOff>
    </xdr:from>
    <xdr:to>
      <xdr:col>1</xdr:col>
      <xdr:colOff>342900</xdr:colOff>
      <xdr:row>6</xdr:row>
      <xdr:rowOff>190500</xdr:rowOff>
    </xdr:to>
    <xdr:pic>
      <xdr:nvPicPr>
        <xdr:cNvPr id="26" name="Picture 392" descr="tungif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81025"/>
          <a:ext cx="323850" cy="64770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absolute">
    <xdr:from>
      <xdr:col>20</xdr:col>
      <xdr:colOff>542925</xdr:colOff>
      <xdr:row>46</xdr:row>
      <xdr:rowOff>28575</xdr:rowOff>
    </xdr:from>
    <xdr:to>
      <xdr:col>23</xdr:col>
      <xdr:colOff>361950</xdr:colOff>
      <xdr:row>47</xdr:row>
      <xdr:rowOff>104775</xdr:rowOff>
    </xdr:to>
    <xdr:sp>
      <xdr:nvSpPr>
        <xdr:cNvPr id="27" name="WordArt 393"/>
        <xdr:cNvSpPr>
          <a:spLocks/>
        </xdr:cNvSpPr>
      </xdr:nvSpPr>
      <xdr:spPr>
        <a:xfrm>
          <a:off x="8839200" y="8058150"/>
          <a:ext cx="164782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0" cmpd="sng">
                <a:noFill/>
              </a:ln>
              <a:solidFill>
                <a:srgbClr val="C0C0C0">
                  <a:alpha val="50000"/>
                </a:srgbClr>
              </a:solidFill>
              <a:latin typeface="Arial Black"/>
              <a:cs typeface="Arial Black"/>
            </a:rPr>
            <a:t>Mana Resort</a:t>
          </a:r>
        </a:p>
      </xdr:txBody>
    </xdr:sp>
    <xdr:clientData/>
  </xdr:twoCellAnchor>
  <xdr:twoCellAnchor editAs="absolute">
    <xdr:from>
      <xdr:col>5</xdr:col>
      <xdr:colOff>276225</xdr:colOff>
      <xdr:row>0</xdr:row>
      <xdr:rowOff>47625</xdr:rowOff>
    </xdr:from>
    <xdr:to>
      <xdr:col>9</xdr:col>
      <xdr:colOff>276225</xdr:colOff>
      <xdr:row>0</xdr:row>
      <xdr:rowOff>171450</xdr:rowOff>
    </xdr:to>
    <xdr:sp>
      <xdr:nvSpPr>
        <xdr:cNvPr id="28" name="WordArt 402"/>
        <xdr:cNvSpPr>
          <a:spLocks/>
        </xdr:cNvSpPr>
      </xdr:nvSpPr>
      <xdr:spPr>
        <a:xfrm>
          <a:off x="2105025" y="47625"/>
          <a:ext cx="148590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0" cmpd="sng">
                <a:noFill/>
              </a:ln>
              <a:solidFill>
                <a:srgbClr val="C0C0C0">
                  <a:alpha val="50000"/>
                </a:srgbClr>
              </a:solidFill>
              <a:latin typeface="Arial Black"/>
              <a:cs typeface="Arial Black"/>
            </a:rPr>
            <a:t>Mana Resort</a:t>
          </a:r>
        </a:p>
      </xdr:txBody>
    </xdr:sp>
    <xdr:clientData/>
  </xdr:twoCellAnchor>
  <xdr:twoCellAnchor>
    <xdr:from>
      <xdr:col>14</xdr:col>
      <xdr:colOff>104775</xdr:colOff>
      <xdr:row>45</xdr:row>
      <xdr:rowOff>47625</xdr:rowOff>
    </xdr:from>
    <xdr:to>
      <xdr:col>14</xdr:col>
      <xdr:colOff>342900</xdr:colOff>
      <xdr:row>45</xdr:row>
      <xdr:rowOff>161925</xdr:rowOff>
    </xdr:to>
    <xdr:sp>
      <xdr:nvSpPr>
        <xdr:cNvPr id="29" name="AutoShape 410"/>
        <xdr:cNvSpPr>
          <a:spLocks/>
        </xdr:cNvSpPr>
      </xdr:nvSpPr>
      <xdr:spPr>
        <a:xfrm>
          <a:off x="5505450" y="7905750"/>
          <a:ext cx="238125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34</xdr:row>
      <xdr:rowOff>19050</xdr:rowOff>
    </xdr:from>
    <xdr:to>
      <xdr:col>7</xdr:col>
      <xdr:colOff>400050</xdr:colOff>
      <xdr:row>34</xdr:row>
      <xdr:rowOff>133350</xdr:rowOff>
    </xdr:to>
    <xdr:sp>
      <xdr:nvSpPr>
        <xdr:cNvPr id="1" name="Line 108"/>
        <xdr:cNvSpPr>
          <a:spLocks/>
        </xdr:cNvSpPr>
      </xdr:nvSpPr>
      <xdr:spPr>
        <a:xfrm>
          <a:off x="6010275" y="5543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36</xdr:row>
      <xdr:rowOff>9525</xdr:rowOff>
    </xdr:from>
    <xdr:to>
      <xdr:col>7</xdr:col>
      <xdr:colOff>447675</xdr:colOff>
      <xdr:row>36</xdr:row>
      <xdr:rowOff>152400</xdr:rowOff>
    </xdr:to>
    <xdr:sp>
      <xdr:nvSpPr>
        <xdr:cNvPr id="2" name="Line 111"/>
        <xdr:cNvSpPr>
          <a:spLocks/>
        </xdr:cNvSpPr>
      </xdr:nvSpPr>
      <xdr:spPr>
        <a:xfrm>
          <a:off x="6057900" y="58578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3"/>
  <sheetViews>
    <sheetView tabSelected="1" zoomScale="68" zoomScaleNormal="68" zoomScalePageLayoutView="0" workbookViewId="0" topLeftCell="AE7">
      <selection activeCell="N40" sqref="N40"/>
    </sheetView>
  </sheetViews>
  <sheetFormatPr defaultColWidth="9.140625" defaultRowHeight="12.75"/>
  <cols>
    <col min="1" max="1" width="3.00390625" style="0" customWidth="1"/>
    <col min="2" max="2" width="7.421875" style="0" bestFit="1" customWidth="1"/>
    <col min="3" max="3" width="6.28125" style="0" customWidth="1"/>
    <col min="4" max="4" width="5.28125" style="0" bestFit="1" customWidth="1"/>
    <col min="5" max="5" width="5.421875" style="0" bestFit="1" customWidth="1"/>
    <col min="6" max="6" width="4.421875" style="0" bestFit="1" customWidth="1"/>
    <col min="7" max="7" width="3.7109375" style="0" customWidth="1"/>
    <col min="8" max="8" width="6.28125" style="0" bestFit="1" customWidth="1"/>
    <col min="9" max="9" width="7.8515625" style="0" customWidth="1"/>
    <col min="10" max="10" width="5.7109375" style="0" bestFit="1" customWidth="1"/>
    <col min="11" max="11" width="4.421875" style="0" bestFit="1" customWidth="1"/>
    <col min="12" max="12" width="8.00390625" style="0" bestFit="1" customWidth="1"/>
    <col min="13" max="13" width="6.421875" style="0" customWidth="1"/>
    <col min="14" max="14" width="6.7109375" style="0" bestFit="1" customWidth="1"/>
    <col min="15" max="15" width="5.421875" style="0" customWidth="1"/>
    <col min="16" max="16" width="7.57421875" style="0" customWidth="1"/>
    <col min="18" max="18" width="6.57421875" style="0" customWidth="1"/>
    <col min="19" max="19" width="5.57421875" style="0" customWidth="1"/>
    <col min="24" max="24" width="7.28125" style="0" customWidth="1"/>
    <col min="27" max="27" width="9.28125" style="0" bestFit="1" customWidth="1"/>
    <col min="28" max="28" width="5.140625" style="0" customWidth="1"/>
    <col min="29" max="29" width="11.7109375" style="0" customWidth="1"/>
    <col min="30" max="30" width="11.28125" style="0" customWidth="1"/>
    <col min="31" max="31" width="10.57421875" style="0" bestFit="1" customWidth="1"/>
    <col min="32" max="32" width="12.140625" style="0" bestFit="1" customWidth="1"/>
    <col min="33" max="33" width="11.8515625" style="0" bestFit="1" customWidth="1"/>
    <col min="34" max="34" width="8.7109375" style="0" bestFit="1" customWidth="1"/>
    <col min="35" max="35" width="10.00390625" style="0" bestFit="1" customWidth="1"/>
    <col min="36" max="36" width="12.57421875" style="0" bestFit="1" customWidth="1"/>
    <col min="37" max="38" width="7.140625" style="0" bestFit="1" customWidth="1"/>
    <col min="42" max="42" width="11.140625" style="0" customWidth="1"/>
    <col min="43" max="43" width="15.57421875" style="0" bestFit="1" customWidth="1"/>
  </cols>
  <sheetData>
    <row r="1" spans="1:31" ht="16.5" thickBot="1">
      <c r="A1" s="111"/>
      <c r="B1" s="529" t="s">
        <v>171</v>
      </c>
      <c r="C1" s="473"/>
      <c r="D1" s="112"/>
      <c r="E1" s="112"/>
      <c r="F1" s="191"/>
      <c r="G1" s="191"/>
      <c r="H1" s="191"/>
      <c r="I1" s="191"/>
      <c r="J1" s="191"/>
      <c r="K1" s="112"/>
      <c r="L1" s="112"/>
      <c r="N1" s="191"/>
      <c r="O1" s="112"/>
      <c r="P1" s="112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C1" s="462" t="s">
        <v>333</v>
      </c>
      <c r="AD1" s="463"/>
      <c r="AE1" s="463"/>
    </row>
    <row r="2" spans="1:32" ht="13.5" thickBot="1">
      <c r="A2" s="111"/>
      <c r="B2" s="534" t="s">
        <v>1</v>
      </c>
      <c r="C2" s="478"/>
      <c r="D2" s="440"/>
      <c r="E2" s="441" t="s">
        <v>428</v>
      </c>
      <c r="F2" s="192"/>
      <c r="G2" s="505" t="s">
        <v>284</v>
      </c>
      <c r="H2" s="506"/>
      <c r="I2" s="182"/>
      <c r="J2" s="464" t="s">
        <v>348</v>
      </c>
      <c r="K2" s="465"/>
      <c r="L2" s="465"/>
      <c r="M2" s="465"/>
      <c r="N2" s="465"/>
      <c r="O2" s="465"/>
      <c r="P2" s="465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C2" t="s">
        <v>375</v>
      </c>
      <c r="AF2" s="423" t="s">
        <v>391</v>
      </c>
    </row>
    <row r="3" spans="1:32" ht="12.75">
      <c r="A3" s="111"/>
      <c r="B3" s="532"/>
      <c r="C3" s="533"/>
      <c r="D3" s="416" t="s">
        <v>30</v>
      </c>
      <c r="E3" s="417" t="s">
        <v>66</v>
      </c>
      <c r="F3" s="192"/>
      <c r="G3" s="506" t="s">
        <v>285</v>
      </c>
      <c r="H3" s="506"/>
      <c r="I3" s="204"/>
      <c r="J3" s="466" t="s">
        <v>349</v>
      </c>
      <c r="K3" s="466"/>
      <c r="L3" s="465"/>
      <c r="M3" s="465"/>
      <c r="N3" s="465"/>
      <c r="O3" s="465"/>
      <c r="P3" s="465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C3" t="s">
        <v>219</v>
      </c>
      <c r="AD3" s="13" t="s">
        <v>244</v>
      </c>
      <c r="AE3" t="s">
        <v>92</v>
      </c>
      <c r="AF3" s="423" t="s">
        <v>392</v>
      </c>
    </row>
    <row r="4" spans="1:32" ht="12.75">
      <c r="A4" s="111"/>
      <c r="B4" s="414"/>
      <c r="C4" s="419" t="s">
        <v>395</v>
      </c>
      <c r="D4" s="114">
        <v>0.1</v>
      </c>
      <c r="E4" s="114">
        <v>0.95</v>
      </c>
      <c r="F4" s="192"/>
      <c r="G4" s="510" t="s">
        <v>279</v>
      </c>
      <c r="H4" s="511"/>
      <c r="I4" s="204"/>
      <c r="J4" s="467">
        <v>123</v>
      </c>
      <c r="K4" s="468"/>
      <c r="L4" s="468"/>
      <c r="M4" s="468"/>
      <c r="N4" s="468"/>
      <c r="O4" s="468"/>
      <c r="P4" s="469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C4" t="s">
        <v>141</v>
      </c>
      <c r="AD4" s="215">
        <v>250</v>
      </c>
      <c r="AE4" t="s">
        <v>218</v>
      </c>
      <c r="AF4" s="398">
        <v>5</v>
      </c>
    </row>
    <row r="5" spans="1:32" ht="12.75">
      <c r="A5" s="111"/>
      <c r="B5" s="414"/>
      <c r="C5" s="420" t="s">
        <v>396</v>
      </c>
      <c r="D5" s="114">
        <v>0.3</v>
      </c>
      <c r="E5" s="114">
        <v>0.75</v>
      </c>
      <c r="F5" s="192"/>
      <c r="G5" s="510" t="s">
        <v>280</v>
      </c>
      <c r="H5" s="511"/>
      <c r="I5" s="204"/>
      <c r="J5" s="466" t="s">
        <v>350</v>
      </c>
      <c r="K5" s="465"/>
      <c r="L5" s="465"/>
      <c r="M5" s="465"/>
      <c r="N5" s="465"/>
      <c r="O5" s="465"/>
      <c r="P5" s="465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C5" t="s">
        <v>181</v>
      </c>
      <c r="AD5" s="215">
        <v>35000</v>
      </c>
      <c r="AE5" t="s">
        <v>242</v>
      </c>
      <c r="AF5" s="398">
        <v>2</v>
      </c>
    </row>
    <row r="6" spans="1:32" ht="13.5" thickBot="1">
      <c r="A6" s="111"/>
      <c r="B6" s="414"/>
      <c r="C6" s="420" t="s">
        <v>397</v>
      </c>
      <c r="D6" s="114">
        <v>0.3</v>
      </c>
      <c r="E6" s="114">
        <v>0.55</v>
      </c>
      <c r="F6" s="112"/>
      <c r="G6" s="115"/>
      <c r="H6" s="112"/>
      <c r="I6" s="112"/>
      <c r="J6" s="297"/>
      <c r="K6" s="191"/>
      <c r="L6" s="191"/>
      <c r="M6" s="45"/>
      <c r="N6" s="45"/>
      <c r="O6" s="45"/>
      <c r="P6" s="45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C6" t="s">
        <v>215</v>
      </c>
      <c r="AD6" s="215">
        <v>1000</v>
      </c>
      <c r="AE6" t="s">
        <v>241</v>
      </c>
      <c r="AF6" s="398">
        <v>18</v>
      </c>
    </row>
    <row r="7" spans="1:32" ht="16.5" thickBot="1">
      <c r="A7" s="111"/>
      <c r="B7" s="414"/>
      <c r="C7" s="420" t="s">
        <v>398</v>
      </c>
      <c r="D7" s="114">
        <v>0.45</v>
      </c>
      <c r="E7" s="114">
        <v>0.35</v>
      </c>
      <c r="F7" s="112"/>
      <c r="G7" s="45"/>
      <c r="H7" s="538" t="s">
        <v>172</v>
      </c>
      <c r="I7" s="492"/>
      <c r="J7" s="299" t="s">
        <v>289</v>
      </c>
      <c r="K7" s="298"/>
      <c r="L7" s="177"/>
      <c r="M7" s="178" t="s">
        <v>46</v>
      </c>
      <c r="N7" s="535" t="s">
        <v>170</v>
      </c>
      <c r="O7" s="536"/>
      <c r="P7" s="45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C7" t="s">
        <v>380</v>
      </c>
      <c r="AD7" s="215">
        <v>1500</v>
      </c>
      <c r="AE7" t="s">
        <v>241</v>
      </c>
      <c r="AF7" s="398">
        <v>5</v>
      </c>
    </row>
    <row r="8" spans="1:32" ht="13.5" thickBot="1">
      <c r="A8" s="111"/>
      <c r="B8" s="415"/>
      <c r="C8" s="421" t="s">
        <v>399</v>
      </c>
      <c r="D8" s="114">
        <v>0</v>
      </c>
      <c r="E8" s="114">
        <v>0</v>
      </c>
      <c r="F8" s="112"/>
      <c r="G8" s="45"/>
      <c r="H8" s="258" t="s">
        <v>204</v>
      </c>
      <c r="I8" s="259" t="s">
        <v>297</v>
      </c>
      <c r="J8" s="300">
        <v>6</v>
      </c>
      <c r="K8" s="45"/>
      <c r="L8" s="179" t="s">
        <v>250</v>
      </c>
      <c r="M8" s="209">
        <v>125.53</v>
      </c>
      <c r="N8" s="265"/>
      <c r="O8" s="266">
        <v>48.9386</v>
      </c>
      <c r="P8" s="45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C8" t="s">
        <v>417</v>
      </c>
      <c r="AD8" s="398">
        <v>1500</v>
      </c>
      <c r="AE8" t="s">
        <v>393</v>
      </c>
      <c r="AF8" s="398">
        <v>5</v>
      </c>
    </row>
    <row r="9" spans="1:46" ht="13.5" thickBot="1">
      <c r="A9" s="111"/>
      <c r="B9" s="45"/>
      <c r="C9" s="45"/>
      <c r="D9" s="45"/>
      <c r="E9" s="112"/>
      <c r="F9" s="112"/>
      <c r="G9" s="45"/>
      <c r="H9" s="537" t="s">
        <v>85</v>
      </c>
      <c r="I9" s="492"/>
      <c r="J9" s="496"/>
      <c r="K9" s="45"/>
      <c r="L9" s="179" t="s">
        <v>198</v>
      </c>
      <c r="M9" s="267">
        <v>64.3</v>
      </c>
      <c r="N9" s="268"/>
      <c r="O9" s="269">
        <v>34.88</v>
      </c>
      <c r="P9" s="191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C9" t="s">
        <v>142</v>
      </c>
      <c r="AD9" s="215">
        <v>1500</v>
      </c>
      <c r="AE9" t="s">
        <v>241</v>
      </c>
      <c r="AF9" s="398">
        <v>5</v>
      </c>
      <c r="AN9" s="399"/>
      <c r="AO9" s="360"/>
      <c r="AP9" s="360"/>
      <c r="AQ9" s="360"/>
      <c r="AR9" s="360"/>
      <c r="AS9" s="360"/>
      <c r="AT9" s="360"/>
    </row>
    <row r="10" spans="1:46" ht="13.5" thickBot="1">
      <c r="A10" s="111"/>
      <c r="B10" s="531" t="s">
        <v>216</v>
      </c>
      <c r="C10" s="492"/>
      <c r="D10" s="496"/>
      <c r="E10" s="112"/>
      <c r="F10" s="112"/>
      <c r="G10" s="45"/>
      <c r="H10" s="539" t="s">
        <v>3</v>
      </c>
      <c r="I10" s="496"/>
      <c r="J10" s="260">
        <v>0.2</v>
      </c>
      <c r="K10" s="191"/>
      <c r="L10" s="191"/>
      <c r="M10" s="191"/>
      <c r="N10" s="191"/>
      <c r="O10" s="45"/>
      <c r="P10" s="45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C10" t="s">
        <v>165</v>
      </c>
      <c r="AD10" s="215">
        <v>3</v>
      </c>
      <c r="AE10" t="s">
        <v>132</v>
      </c>
      <c r="AF10" s="398">
        <v>5</v>
      </c>
      <c r="AN10" s="360"/>
      <c r="AO10" s="360"/>
      <c r="AP10" s="360"/>
      <c r="AQ10" s="360"/>
      <c r="AR10" s="362"/>
      <c r="AS10" s="360"/>
      <c r="AT10" s="360"/>
    </row>
    <row r="11" spans="1:46" ht="13.5" thickBot="1">
      <c r="A11" s="111"/>
      <c r="B11" s="193" t="s">
        <v>204</v>
      </c>
      <c r="C11" s="261" t="s">
        <v>297</v>
      </c>
      <c r="D11" s="262">
        <v>6</v>
      </c>
      <c r="E11" s="112"/>
      <c r="F11" s="112"/>
      <c r="G11" s="45"/>
      <c r="H11" s="509" t="s">
        <v>75</v>
      </c>
      <c r="I11" s="501"/>
      <c r="J11" s="244">
        <v>3</v>
      </c>
      <c r="K11" s="191"/>
      <c r="L11" s="191"/>
      <c r="M11" s="191"/>
      <c r="N11" s="191"/>
      <c r="O11" s="45"/>
      <c r="P11" s="45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C11" t="s">
        <v>388</v>
      </c>
      <c r="AD11" s="215">
        <v>40000</v>
      </c>
      <c r="AE11" t="s">
        <v>393</v>
      </c>
      <c r="AF11" s="398">
        <v>2</v>
      </c>
      <c r="AN11" s="399"/>
      <c r="AO11" s="399"/>
      <c r="AP11" s="399"/>
      <c r="AQ11" s="362"/>
      <c r="AR11" s="400"/>
      <c r="AS11" s="360"/>
      <c r="AT11" s="360"/>
    </row>
    <row r="12" spans="1:46" ht="13.5" thickBot="1">
      <c r="A12" s="111"/>
      <c r="B12" s="530" t="s">
        <v>179</v>
      </c>
      <c r="C12" s="471"/>
      <c r="D12" s="471"/>
      <c r="E12" s="471"/>
      <c r="F12" s="112"/>
      <c r="G12" s="112"/>
      <c r="H12" s="112"/>
      <c r="I12" s="112"/>
      <c r="J12" s="112"/>
      <c r="K12" s="191"/>
      <c r="L12" s="45"/>
      <c r="M12" s="191"/>
      <c r="N12" s="45"/>
      <c r="O12" s="45"/>
      <c r="P12" s="45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N12" s="399"/>
      <c r="AO12" s="360"/>
      <c r="AP12" s="73"/>
      <c r="AQ12" s="407"/>
      <c r="AR12" s="407"/>
      <c r="AS12" s="400"/>
      <c r="AT12" s="400"/>
    </row>
    <row r="13" spans="1:46" ht="13.5" thickBot="1">
      <c r="A13" s="111"/>
      <c r="B13" s="491" t="s">
        <v>278</v>
      </c>
      <c r="C13" s="490"/>
      <c r="D13" s="180" t="s">
        <v>29</v>
      </c>
      <c r="E13" s="181" t="s">
        <v>80</v>
      </c>
      <c r="F13" s="45"/>
      <c r="G13" s="112"/>
      <c r="H13" s="491" t="s">
        <v>277</v>
      </c>
      <c r="I13" s="492"/>
      <c r="J13" s="290" t="s">
        <v>29</v>
      </c>
      <c r="K13" s="290" t="s">
        <v>80</v>
      </c>
      <c r="L13" s="194"/>
      <c r="M13" s="45"/>
      <c r="N13" s="512" t="s">
        <v>332</v>
      </c>
      <c r="O13" s="492"/>
      <c r="P13" s="496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C13" s="3" t="s">
        <v>378</v>
      </c>
      <c r="AF13" s="3" t="s">
        <v>412</v>
      </c>
      <c r="AN13" s="401"/>
      <c r="AO13" s="360"/>
      <c r="AP13" s="408"/>
      <c r="AQ13" s="409"/>
      <c r="AR13" s="73"/>
      <c r="AS13" s="360"/>
      <c r="AT13" s="360"/>
    </row>
    <row r="14" spans="1:46" ht="12.75">
      <c r="A14" s="111">
        <v>1</v>
      </c>
      <c r="B14" s="507" t="s">
        <v>282</v>
      </c>
      <c r="C14" s="484"/>
      <c r="D14" s="121">
        <v>1</v>
      </c>
      <c r="E14" s="222">
        <v>11.2</v>
      </c>
      <c r="F14" s="45"/>
      <c r="G14" s="112">
        <v>1</v>
      </c>
      <c r="H14" s="508" t="s">
        <v>281</v>
      </c>
      <c r="I14" s="486"/>
      <c r="J14" s="121">
        <v>2</v>
      </c>
      <c r="K14" s="169">
        <v>4.23</v>
      </c>
      <c r="L14" s="222" t="s">
        <v>8</v>
      </c>
      <c r="M14" s="45"/>
      <c r="N14" s="292" t="s">
        <v>80</v>
      </c>
      <c r="O14" s="291" t="s">
        <v>11</v>
      </c>
      <c r="P14" s="293" t="s">
        <v>33</v>
      </c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N14" s="401"/>
      <c r="AO14" s="360"/>
      <c r="AP14" s="410"/>
      <c r="AQ14" s="409"/>
      <c r="AR14" s="411"/>
      <c r="AS14" s="403"/>
      <c r="AT14" s="403"/>
    </row>
    <row r="15" spans="1:46" ht="12.75">
      <c r="A15" s="111">
        <v>2</v>
      </c>
      <c r="B15" s="508" t="s">
        <v>69</v>
      </c>
      <c r="C15" s="486"/>
      <c r="D15" s="113">
        <v>1</v>
      </c>
      <c r="E15" s="224">
        <v>5.24</v>
      </c>
      <c r="F15" s="45"/>
      <c r="G15" s="112">
        <v>2</v>
      </c>
      <c r="H15" s="508" t="s">
        <v>69</v>
      </c>
      <c r="I15" s="486"/>
      <c r="J15" s="113">
        <v>2</v>
      </c>
      <c r="K15" s="114">
        <v>3.73</v>
      </c>
      <c r="L15" s="224" t="s">
        <v>8</v>
      </c>
      <c r="M15" s="45"/>
      <c r="N15" s="231">
        <v>0</v>
      </c>
      <c r="O15" s="169">
        <v>0</v>
      </c>
      <c r="P15" s="222">
        <v>0</v>
      </c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C15" s="340"/>
      <c r="AD15" s="340"/>
      <c r="AE15" s="340" t="s">
        <v>215</v>
      </c>
      <c r="AF15" s="340" t="s">
        <v>380</v>
      </c>
      <c r="AG15" s="340" t="s">
        <v>417</v>
      </c>
      <c r="AH15" s="340" t="s">
        <v>142</v>
      </c>
      <c r="AI15" s="340" t="s">
        <v>141</v>
      </c>
      <c r="AJ15" s="340" t="s">
        <v>165</v>
      </c>
      <c r="AK15" s="340" t="s">
        <v>181</v>
      </c>
      <c r="AL15" s="340" t="s">
        <v>388</v>
      </c>
      <c r="AN15" s="401"/>
      <c r="AO15" s="360"/>
      <c r="AP15" s="412"/>
      <c r="AQ15" s="409"/>
      <c r="AR15" s="411"/>
      <c r="AS15" s="403"/>
      <c r="AT15" s="403"/>
    </row>
    <row r="16" spans="1:46" ht="12.75">
      <c r="A16" s="111">
        <v>3</v>
      </c>
      <c r="B16" s="508" t="s">
        <v>70</v>
      </c>
      <c r="C16" s="486"/>
      <c r="D16" s="113">
        <v>1</v>
      </c>
      <c r="E16" s="224">
        <v>4.23</v>
      </c>
      <c r="F16" s="45"/>
      <c r="G16" s="112">
        <v>3</v>
      </c>
      <c r="H16" s="508" t="s">
        <v>70</v>
      </c>
      <c r="I16" s="486"/>
      <c r="J16" s="113">
        <v>2</v>
      </c>
      <c r="K16" s="114">
        <v>6.35</v>
      </c>
      <c r="L16" s="224" t="s">
        <v>8</v>
      </c>
      <c r="M16" s="45"/>
      <c r="N16" s="167">
        <v>0</v>
      </c>
      <c r="O16" s="114">
        <v>0</v>
      </c>
      <c r="P16" s="224">
        <v>0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C16" s="340"/>
      <c r="AD16" s="340"/>
      <c r="AE16" s="340" t="s">
        <v>20</v>
      </c>
      <c r="AF16" s="340" t="s">
        <v>20</v>
      </c>
      <c r="AG16" s="340" t="s">
        <v>20</v>
      </c>
      <c r="AH16" s="340" t="s">
        <v>20</v>
      </c>
      <c r="AI16" s="340" t="s">
        <v>383</v>
      </c>
      <c r="AJ16" s="340" t="s">
        <v>132</v>
      </c>
      <c r="AK16" s="340" t="s">
        <v>193</v>
      </c>
      <c r="AL16" s="340" t="s">
        <v>20</v>
      </c>
      <c r="AN16" s="401"/>
      <c r="AO16" s="360"/>
      <c r="AP16" s="408"/>
      <c r="AQ16" s="409"/>
      <c r="AR16" s="411"/>
      <c r="AS16" s="403"/>
      <c r="AT16" s="403"/>
    </row>
    <row r="17" spans="1:46" ht="12.75">
      <c r="A17" s="111">
        <v>4</v>
      </c>
      <c r="B17" s="508" t="s">
        <v>71</v>
      </c>
      <c r="C17" s="486"/>
      <c r="D17" s="113">
        <v>1</v>
      </c>
      <c r="E17" s="224">
        <v>5.96</v>
      </c>
      <c r="F17" s="45"/>
      <c r="G17" s="112">
        <v>4</v>
      </c>
      <c r="H17" s="508" t="s">
        <v>71</v>
      </c>
      <c r="I17" s="486"/>
      <c r="J17" s="113">
        <v>1</v>
      </c>
      <c r="K17" s="114">
        <v>2.23</v>
      </c>
      <c r="L17" s="224" t="s">
        <v>8</v>
      </c>
      <c r="M17" s="45"/>
      <c r="N17" s="167">
        <v>0</v>
      </c>
      <c r="O17" s="114">
        <v>0</v>
      </c>
      <c r="P17" s="224">
        <v>0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C17" s="340" t="s">
        <v>379</v>
      </c>
      <c r="AD17" s="340"/>
      <c r="AE17" s="429"/>
      <c r="AF17" s="429">
        <f>Calculation01!AB82</f>
        <v>6.761091024000001</v>
      </c>
      <c r="AG17" s="429"/>
      <c r="AH17" s="429">
        <f>Calculation01!AA82</f>
        <v>3.3805455120000003</v>
      </c>
      <c r="AI17" s="429">
        <f>Calculation01!Z82</f>
        <v>25.455915000000005</v>
      </c>
      <c r="AJ17" s="429"/>
      <c r="AK17" s="429"/>
      <c r="AL17" s="430"/>
      <c r="AN17" s="401"/>
      <c r="AO17" s="360"/>
      <c r="AP17" s="408"/>
      <c r="AQ17" s="409"/>
      <c r="AR17" s="411"/>
      <c r="AS17" s="403"/>
      <c r="AT17" s="403"/>
    </row>
    <row r="18" spans="1:46" ht="12.75">
      <c r="A18" s="111">
        <v>5</v>
      </c>
      <c r="B18" s="508" t="s">
        <v>72</v>
      </c>
      <c r="C18" s="486"/>
      <c r="D18" s="113">
        <v>1</v>
      </c>
      <c r="E18" s="224">
        <v>12.93</v>
      </c>
      <c r="F18" s="45"/>
      <c r="G18" s="112">
        <v>5</v>
      </c>
      <c r="H18" s="508" t="s">
        <v>72</v>
      </c>
      <c r="I18" s="486"/>
      <c r="J18" s="113">
        <v>3</v>
      </c>
      <c r="K18" s="114">
        <v>4.23</v>
      </c>
      <c r="L18" s="224" t="s">
        <v>8</v>
      </c>
      <c r="M18" s="45"/>
      <c r="N18" s="167">
        <v>0</v>
      </c>
      <c r="O18" s="114">
        <v>0</v>
      </c>
      <c r="P18" s="224">
        <v>0</v>
      </c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C18" s="340" t="s">
        <v>384</v>
      </c>
      <c r="AD18" s="340"/>
      <c r="AE18" s="429">
        <f>Calculation01!Y87</f>
        <v>31.111500000000007</v>
      </c>
      <c r="AF18" s="429"/>
      <c r="AG18" s="429"/>
      <c r="AH18" s="429"/>
      <c r="AI18" s="429"/>
      <c r="AJ18" s="429"/>
      <c r="AK18" s="429"/>
      <c r="AL18" s="430"/>
      <c r="AN18" s="401"/>
      <c r="AO18" s="360"/>
      <c r="AP18" s="413"/>
      <c r="AQ18" s="409"/>
      <c r="AR18" s="411"/>
      <c r="AS18" s="403"/>
      <c r="AT18" s="403"/>
    </row>
    <row r="19" spans="1:46" ht="16.5" thickBot="1">
      <c r="A19" s="111">
        <v>6</v>
      </c>
      <c r="B19" s="500" t="s">
        <v>73</v>
      </c>
      <c r="C19" s="501"/>
      <c r="D19" s="218">
        <v>0</v>
      </c>
      <c r="E19" s="228">
        <v>0</v>
      </c>
      <c r="F19" s="45"/>
      <c r="G19" s="112">
        <v>6</v>
      </c>
      <c r="H19" s="500" t="s">
        <v>73</v>
      </c>
      <c r="I19" s="501"/>
      <c r="J19" s="218">
        <v>0</v>
      </c>
      <c r="K19" s="219">
        <v>0</v>
      </c>
      <c r="L19" s="228" t="s">
        <v>8</v>
      </c>
      <c r="M19" s="45"/>
      <c r="N19" s="232">
        <v>0</v>
      </c>
      <c r="O19" s="219">
        <v>0</v>
      </c>
      <c r="P19" s="228">
        <v>0</v>
      </c>
      <c r="Q19" s="68"/>
      <c r="R19" s="68"/>
      <c r="S19" s="68"/>
      <c r="T19" s="68"/>
      <c r="U19" s="68"/>
      <c r="V19" s="250"/>
      <c r="W19" s="68"/>
      <c r="X19" s="68"/>
      <c r="Y19" s="68"/>
      <c r="Z19" s="68"/>
      <c r="AA19" s="68"/>
      <c r="AC19" s="340" t="s">
        <v>385</v>
      </c>
      <c r="AD19" s="340"/>
      <c r="AE19" s="429">
        <f>Calculation01!Y88</f>
        <v>12.812624999999999</v>
      </c>
      <c r="AF19" s="429"/>
      <c r="AG19" s="429"/>
      <c r="AH19" s="429">
        <f>Calculation01!O70</f>
        <v>3.6752758559999994</v>
      </c>
      <c r="AI19" s="429">
        <f>Calculation01!O69</f>
        <v>18.45018</v>
      </c>
      <c r="AJ19" s="429"/>
      <c r="AK19" s="429"/>
      <c r="AL19" s="430"/>
      <c r="AN19" s="360"/>
      <c r="AO19" s="360"/>
      <c r="AP19" s="21"/>
      <c r="AQ19" s="21"/>
      <c r="AR19" s="21"/>
      <c r="AS19" s="360"/>
      <c r="AT19" s="404"/>
    </row>
    <row r="20" spans="1:46" ht="13.5" thickBot="1">
      <c r="A20" s="111"/>
      <c r="B20" s="191"/>
      <c r="C20" s="191"/>
      <c r="D20" s="191"/>
      <c r="E20" s="112"/>
      <c r="F20" s="45"/>
      <c r="G20" s="112"/>
      <c r="H20" s="526"/>
      <c r="I20" s="527"/>
      <c r="J20" s="217"/>
      <c r="K20" s="217"/>
      <c r="L20" s="217"/>
      <c r="M20" s="45"/>
      <c r="N20" s="45"/>
      <c r="O20" s="45"/>
      <c r="P20" s="191"/>
      <c r="Q20" s="68"/>
      <c r="R20" s="68"/>
      <c r="S20" s="68"/>
      <c r="T20" s="68"/>
      <c r="U20" s="68"/>
      <c r="V20" s="250"/>
      <c r="W20" s="68"/>
      <c r="X20" s="68"/>
      <c r="Y20" s="68"/>
      <c r="Z20" s="68"/>
      <c r="AA20" s="68"/>
      <c r="AC20" s="447" t="s">
        <v>419</v>
      </c>
      <c r="AD20" s="340"/>
      <c r="AE20" s="340"/>
      <c r="AF20" s="340"/>
      <c r="AG20" s="340"/>
      <c r="AH20" s="448">
        <f>Calculation01!Y93</f>
        <v>0</v>
      </c>
      <c r="AI20" s="448">
        <f>Calculation01!Y92</f>
        <v>0</v>
      </c>
      <c r="AJ20" s="449">
        <f>Calculation01!Y90</f>
        <v>0</v>
      </c>
      <c r="AK20" s="340"/>
      <c r="AL20" s="340"/>
      <c r="AN20" s="360"/>
      <c r="AO20" s="360"/>
      <c r="AP20" s="21"/>
      <c r="AQ20" s="250"/>
      <c r="AR20" s="250"/>
      <c r="AS20" s="360"/>
      <c r="AT20" s="403"/>
    </row>
    <row r="21" spans="1:46" ht="13.5" thickBot="1">
      <c r="A21" s="111"/>
      <c r="B21" s="502" t="s">
        <v>25</v>
      </c>
      <c r="C21" s="498"/>
      <c r="D21" s="498"/>
      <c r="E21" s="498"/>
      <c r="F21" s="484"/>
      <c r="G21" s="112"/>
      <c r="H21" s="528" t="s">
        <v>74</v>
      </c>
      <c r="I21" s="473"/>
      <c r="J21" s="473"/>
      <c r="K21" s="112"/>
      <c r="L21" s="217"/>
      <c r="M21" s="45"/>
      <c r="N21" s="523" t="s">
        <v>32</v>
      </c>
      <c r="O21" s="496"/>
      <c r="P21" s="191"/>
      <c r="Q21" s="68"/>
      <c r="R21" s="68"/>
      <c r="S21" s="68"/>
      <c r="T21" s="68"/>
      <c r="U21" s="68"/>
      <c r="V21" s="250"/>
      <c r="W21" s="68"/>
      <c r="X21" s="68"/>
      <c r="Y21" s="68"/>
      <c r="Z21" s="68"/>
      <c r="AA21" s="68"/>
      <c r="AC21" s="340" t="s">
        <v>85</v>
      </c>
      <c r="AD21" s="340"/>
      <c r="AE21" s="429"/>
      <c r="AF21" s="429"/>
      <c r="AG21" s="429"/>
      <c r="AH21" s="431">
        <f>Calculation01!J77</f>
        <v>18.104170956202147</v>
      </c>
      <c r="AI21" s="431">
        <f>Calculation01!J76</f>
        <v>90.88439235041238</v>
      </c>
      <c r="AJ21" s="442">
        <f>Calculation01!L82</f>
        <v>39174.307047591545</v>
      </c>
      <c r="AK21" s="429"/>
      <c r="AL21" s="430"/>
      <c r="AN21" s="360"/>
      <c r="AO21" s="360"/>
      <c r="AP21" s="21"/>
      <c r="AQ21" s="250"/>
      <c r="AR21" s="250"/>
      <c r="AS21" s="360"/>
      <c r="AT21" s="402"/>
    </row>
    <row r="22" spans="1:46" ht="13.5" thickBot="1">
      <c r="A22" s="111"/>
      <c r="B22" s="493" t="s">
        <v>27</v>
      </c>
      <c r="C22" s="494"/>
      <c r="D22" s="296"/>
      <c r="E22" s="503" t="s">
        <v>26</v>
      </c>
      <c r="F22" s="504"/>
      <c r="G22" s="112"/>
      <c r="H22" s="294"/>
      <c r="I22" s="295" t="s">
        <v>29</v>
      </c>
      <c r="J22" s="190" t="s">
        <v>31</v>
      </c>
      <c r="K22" s="191"/>
      <c r="L22" s="191"/>
      <c r="M22" s="45"/>
      <c r="N22" s="234" t="s">
        <v>249</v>
      </c>
      <c r="O22" s="235">
        <v>15</v>
      </c>
      <c r="P22" s="191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C22" s="340" t="s">
        <v>86</v>
      </c>
      <c r="AD22" s="340"/>
      <c r="AE22" s="429"/>
      <c r="AF22" s="429"/>
      <c r="AG22" s="431">
        <f>Calculation01!G68</f>
        <v>27.234204350211026</v>
      </c>
      <c r="AH22" s="431">
        <f>Calculation01!F68</f>
        <v>13.617102175105513</v>
      </c>
      <c r="AI22" s="431">
        <f>Calculation01!E68</f>
        <v>205.07683998652882</v>
      </c>
      <c r="AJ22" s="429"/>
      <c r="AK22" s="432">
        <f>Calculation01!AD76</f>
        <v>3.185255105545991</v>
      </c>
      <c r="AL22" s="430"/>
      <c r="AN22" s="360"/>
      <c r="AO22" s="360"/>
      <c r="AP22" s="21"/>
      <c r="AQ22" s="250"/>
      <c r="AR22" s="250"/>
      <c r="AS22" s="360"/>
      <c r="AT22" s="406"/>
    </row>
    <row r="23" spans="1:46" ht="12.75" customHeight="1">
      <c r="A23" s="111">
        <v>1</v>
      </c>
      <c r="B23" s="229" t="s">
        <v>29</v>
      </c>
      <c r="C23" s="189" t="s">
        <v>80</v>
      </c>
      <c r="D23" s="195"/>
      <c r="E23" s="189" t="s">
        <v>29</v>
      </c>
      <c r="F23" s="230" t="s">
        <v>80</v>
      </c>
      <c r="G23" s="112">
        <v>1</v>
      </c>
      <c r="H23" s="221" t="s">
        <v>308</v>
      </c>
      <c r="I23" s="121">
        <v>1</v>
      </c>
      <c r="J23" s="222">
        <v>3</v>
      </c>
      <c r="K23" s="191"/>
      <c r="L23" s="191"/>
      <c r="M23" s="45"/>
      <c r="N23" s="515" t="s">
        <v>67</v>
      </c>
      <c r="O23" s="516"/>
      <c r="P23" s="191"/>
      <c r="Q23" s="68"/>
      <c r="R23" s="251"/>
      <c r="S23" s="68"/>
      <c r="T23" s="68"/>
      <c r="U23" s="68"/>
      <c r="V23" s="68"/>
      <c r="W23" s="68"/>
      <c r="X23" s="68"/>
      <c r="Y23" s="68"/>
      <c r="Z23" s="68"/>
      <c r="AA23" s="68"/>
      <c r="AC23" s="340" t="s">
        <v>429</v>
      </c>
      <c r="AD23" s="340"/>
      <c r="AE23" s="430"/>
      <c r="AF23" s="430"/>
      <c r="AG23" s="430"/>
      <c r="AH23" s="433">
        <f>Calculation01!O51</f>
        <v>17.548235744320003</v>
      </c>
      <c r="AI23" s="433">
        <f>Calculation01!O50</f>
        <v>132.14032939999998</v>
      </c>
      <c r="AJ23" s="430"/>
      <c r="AK23" s="430"/>
      <c r="AL23" s="430"/>
      <c r="AN23" s="360"/>
      <c r="AO23" s="360"/>
      <c r="AP23" s="21"/>
      <c r="AQ23" s="21"/>
      <c r="AR23" s="21"/>
      <c r="AS23" s="405"/>
      <c r="AT23" s="402"/>
    </row>
    <row r="24" spans="1:46" ht="12.75">
      <c r="A24" s="111">
        <v>2</v>
      </c>
      <c r="B24" s="231">
        <v>2</v>
      </c>
      <c r="C24" s="169">
        <v>11.07</v>
      </c>
      <c r="D24" s="192"/>
      <c r="E24" s="169">
        <v>1</v>
      </c>
      <c r="F24" s="222">
        <v>6</v>
      </c>
      <c r="G24" s="112">
        <v>2</v>
      </c>
      <c r="H24" s="223"/>
      <c r="I24" s="113">
        <v>1</v>
      </c>
      <c r="J24" s="224">
        <v>1.6</v>
      </c>
      <c r="K24" s="191"/>
      <c r="L24" s="191"/>
      <c r="M24" s="45"/>
      <c r="N24" s="236" t="s">
        <v>35</v>
      </c>
      <c r="O24" s="224">
        <v>0.1</v>
      </c>
      <c r="P24" s="191"/>
      <c r="Q24" s="68"/>
      <c r="R24" s="252"/>
      <c r="S24" s="252"/>
      <c r="T24" s="68"/>
      <c r="U24" s="252"/>
      <c r="V24" s="252"/>
      <c r="W24" s="252"/>
      <c r="X24" s="68"/>
      <c r="Y24" s="68"/>
      <c r="Z24" s="68"/>
      <c r="AA24" s="68"/>
      <c r="AC24" s="340" t="s">
        <v>381</v>
      </c>
      <c r="AD24" s="340"/>
      <c r="AE24" s="430"/>
      <c r="AF24" s="433">
        <f>Calculation01!O58</f>
        <v>6.9189171840000006</v>
      </c>
      <c r="AG24" s="430"/>
      <c r="AH24" s="433">
        <f>Calculation01!N58</f>
        <v>3.4594585920000003</v>
      </c>
      <c r="AI24" s="433">
        <f>Calculation01!L58</f>
        <v>26.050140000000003</v>
      </c>
      <c r="AJ24" s="430"/>
      <c r="AK24" s="430"/>
      <c r="AL24" s="430"/>
      <c r="AN24" s="360"/>
      <c r="AO24" s="360"/>
      <c r="AP24" s="360"/>
      <c r="AQ24" s="360"/>
      <c r="AR24" s="405"/>
      <c r="AS24" s="405"/>
      <c r="AT24" s="405"/>
    </row>
    <row r="25" spans="1:46" ht="15" thickBot="1">
      <c r="A25" s="111">
        <v>3</v>
      </c>
      <c r="B25" s="167">
        <v>1</v>
      </c>
      <c r="C25" s="114">
        <v>4.22</v>
      </c>
      <c r="D25" s="192"/>
      <c r="E25" s="114">
        <v>3</v>
      </c>
      <c r="F25" s="224">
        <v>4.17</v>
      </c>
      <c r="G25" s="112">
        <v>3</v>
      </c>
      <c r="H25" s="223"/>
      <c r="I25" s="113">
        <v>1</v>
      </c>
      <c r="J25" s="224">
        <v>1.52</v>
      </c>
      <c r="K25" s="191"/>
      <c r="L25" s="112"/>
      <c r="M25" s="45"/>
      <c r="N25" s="237" t="s">
        <v>34</v>
      </c>
      <c r="O25" s="228">
        <v>0.1</v>
      </c>
      <c r="P25" s="115"/>
      <c r="Q25" s="253"/>
      <c r="R25" s="252"/>
      <c r="S25" s="252"/>
      <c r="T25" s="252"/>
      <c r="U25" s="252"/>
      <c r="V25" s="68"/>
      <c r="W25" s="252"/>
      <c r="X25" s="68"/>
      <c r="Y25" s="68"/>
      <c r="Z25" s="68"/>
      <c r="AA25" s="68"/>
      <c r="AC25" s="340" t="s">
        <v>382</v>
      </c>
      <c r="AD25" s="340"/>
      <c r="AE25" s="430"/>
      <c r="AF25" s="430"/>
      <c r="AG25" s="430"/>
      <c r="AH25" s="429">
        <f>Calculation01!B56</f>
        <v>7.821</v>
      </c>
      <c r="AI25" s="429">
        <f>Calculation01!B59</f>
        <v>6.7260599999999995</v>
      </c>
      <c r="AJ25" s="430"/>
      <c r="AK25" s="430"/>
      <c r="AL25" s="430"/>
      <c r="AO25" s="13"/>
      <c r="AR25" s="68"/>
      <c r="AS25" s="68"/>
      <c r="AT25" s="68"/>
    </row>
    <row r="26" spans="1:46" ht="13.5" thickBot="1">
      <c r="A26" s="111">
        <v>4</v>
      </c>
      <c r="B26" s="167">
        <v>1</v>
      </c>
      <c r="C26" s="114">
        <v>5.16</v>
      </c>
      <c r="D26" s="192"/>
      <c r="E26" s="114">
        <v>0</v>
      </c>
      <c r="F26" s="224">
        <v>0</v>
      </c>
      <c r="G26" s="112">
        <v>4</v>
      </c>
      <c r="H26" s="225"/>
      <c r="I26" s="113">
        <v>1</v>
      </c>
      <c r="J26" s="224">
        <v>2.5</v>
      </c>
      <c r="K26" s="191"/>
      <c r="L26" s="191"/>
      <c r="M26" s="191"/>
      <c r="N26" s="191"/>
      <c r="O26" s="191"/>
      <c r="P26" s="112"/>
      <c r="Q26" s="68"/>
      <c r="R26" s="252"/>
      <c r="S26" s="252"/>
      <c r="T26" s="68"/>
      <c r="U26" s="252"/>
      <c r="V26" s="254"/>
      <c r="W26" s="252"/>
      <c r="X26" s="68"/>
      <c r="Y26" s="68"/>
      <c r="Z26" s="68"/>
      <c r="AA26" s="68"/>
      <c r="AC26" s="340" t="s">
        <v>389</v>
      </c>
      <c r="AD26" s="340"/>
      <c r="AE26" s="430"/>
      <c r="AF26" s="430"/>
      <c r="AG26" s="430"/>
      <c r="AH26" s="430"/>
      <c r="AI26" s="430"/>
      <c r="AJ26" s="430"/>
      <c r="AK26" s="430"/>
      <c r="AL26" s="429">
        <f>Calculation01!BC30</f>
        <v>1.3594700000000006</v>
      </c>
      <c r="AO26" s="13"/>
      <c r="AP26" s="13"/>
      <c r="AQ26" s="214"/>
      <c r="AR26" s="68"/>
      <c r="AS26" s="68"/>
      <c r="AT26" s="68"/>
    </row>
    <row r="27" spans="1:46" ht="13.5" thickBot="1">
      <c r="A27" s="111">
        <v>5</v>
      </c>
      <c r="B27" s="167">
        <v>1</v>
      </c>
      <c r="C27" s="114">
        <v>8.08</v>
      </c>
      <c r="D27" s="192"/>
      <c r="E27" s="114">
        <v>0</v>
      </c>
      <c r="F27" s="224">
        <v>0</v>
      </c>
      <c r="G27" s="112">
        <v>5</v>
      </c>
      <c r="H27" s="226" t="s">
        <v>309</v>
      </c>
      <c r="I27" s="113">
        <v>1</v>
      </c>
      <c r="J27" s="224">
        <v>2</v>
      </c>
      <c r="K27" s="191"/>
      <c r="L27" s="191"/>
      <c r="M27" s="45"/>
      <c r="N27" s="524" t="s">
        <v>181</v>
      </c>
      <c r="O27" s="479"/>
      <c r="P27" s="192"/>
      <c r="Q27" s="68"/>
      <c r="R27" s="68"/>
      <c r="S27" s="68"/>
      <c r="T27" s="252"/>
      <c r="U27" s="252"/>
      <c r="V27" s="254"/>
      <c r="W27" s="252"/>
      <c r="X27" s="68"/>
      <c r="Y27" s="68"/>
      <c r="Z27" s="68"/>
      <c r="AA27" s="68"/>
      <c r="AC27" s="340"/>
      <c r="AD27" s="422" t="s">
        <v>47</v>
      </c>
      <c r="AE27" s="434">
        <f aca="true" t="shared" si="0" ref="AE27:AL27">SUM(AE17:AE26)</f>
        <v>43.924125000000004</v>
      </c>
      <c r="AF27" s="434">
        <f t="shared" si="0"/>
        <v>13.680008208</v>
      </c>
      <c r="AG27" s="434">
        <f t="shared" si="0"/>
        <v>27.234204350211026</v>
      </c>
      <c r="AH27" s="434">
        <f t="shared" si="0"/>
        <v>67.60578883562766</v>
      </c>
      <c r="AI27" s="434">
        <f t="shared" si="0"/>
        <v>504.78385673694123</v>
      </c>
      <c r="AJ27" s="443">
        <f t="shared" si="0"/>
        <v>39174.307047591545</v>
      </c>
      <c r="AK27" s="434">
        <f t="shared" si="0"/>
        <v>3.185255105545991</v>
      </c>
      <c r="AL27" s="434">
        <f t="shared" si="0"/>
        <v>1.3594700000000006</v>
      </c>
      <c r="AN27" s="16"/>
      <c r="AO27" s="13"/>
      <c r="AP27" s="13"/>
      <c r="AQ27" s="214"/>
      <c r="AR27" s="68"/>
      <c r="AS27" s="68"/>
      <c r="AT27" s="68"/>
    </row>
    <row r="28" spans="1:46" ht="13.5" thickBot="1">
      <c r="A28" s="111"/>
      <c r="B28" s="232">
        <v>0</v>
      </c>
      <c r="C28" s="219">
        <v>0</v>
      </c>
      <c r="D28" s="233"/>
      <c r="E28" s="219">
        <v>0</v>
      </c>
      <c r="F28" s="228">
        <v>0</v>
      </c>
      <c r="G28" s="196">
        <v>6</v>
      </c>
      <c r="H28" s="223"/>
      <c r="I28" s="113">
        <v>2</v>
      </c>
      <c r="J28" s="224">
        <v>1.5</v>
      </c>
      <c r="K28" s="191"/>
      <c r="L28" s="191"/>
      <c r="M28" s="45"/>
      <c r="N28" s="289" t="s">
        <v>169</v>
      </c>
      <c r="O28" s="260">
        <v>2.5</v>
      </c>
      <c r="P28" s="112" t="s">
        <v>183</v>
      </c>
      <c r="Q28" s="68"/>
      <c r="R28" s="252"/>
      <c r="S28" s="252"/>
      <c r="T28" s="252"/>
      <c r="U28" s="252"/>
      <c r="V28" s="68"/>
      <c r="W28" s="252"/>
      <c r="X28" s="68"/>
      <c r="Y28" s="68"/>
      <c r="Z28" s="68"/>
      <c r="AA28" s="68"/>
      <c r="AS28" s="68"/>
      <c r="AT28" s="68"/>
    </row>
    <row r="29" spans="1:46" ht="13.5" thickBot="1">
      <c r="A29" s="45"/>
      <c r="B29" s="499" t="s">
        <v>36</v>
      </c>
      <c r="C29" s="492"/>
      <c r="D29" s="191"/>
      <c r="E29" s="191"/>
      <c r="F29" s="191"/>
      <c r="G29" s="196">
        <v>7</v>
      </c>
      <c r="H29" s="227"/>
      <c r="I29" s="218">
        <v>0</v>
      </c>
      <c r="J29" s="228">
        <v>0</v>
      </c>
      <c r="K29" s="191"/>
      <c r="L29" s="191"/>
      <c r="M29" s="45"/>
      <c r="N29" s="289" t="s">
        <v>182</v>
      </c>
      <c r="O29" s="244">
        <v>9</v>
      </c>
      <c r="P29" s="196" t="s">
        <v>292</v>
      </c>
      <c r="Q29" s="68"/>
      <c r="R29" s="252"/>
      <c r="S29" s="252"/>
      <c r="T29" s="252"/>
      <c r="U29" s="252"/>
      <c r="V29" s="254"/>
      <c r="W29" s="252"/>
      <c r="X29" s="68"/>
      <c r="Y29" s="68"/>
      <c r="Z29" s="68"/>
      <c r="AA29" s="68"/>
      <c r="AS29" s="68"/>
      <c r="AT29" s="68"/>
    </row>
    <row r="30" spans="1:36" ht="13.5" thickBot="1">
      <c r="A30" s="45"/>
      <c r="B30" s="238"/>
      <c r="C30" s="285" t="s">
        <v>197</v>
      </c>
      <c r="D30" s="285" t="s">
        <v>198</v>
      </c>
      <c r="E30" s="285" t="s">
        <v>33</v>
      </c>
      <c r="F30" s="286" t="s">
        <v>11</v>
      </c>
      <c r="G30" s="45"/>
      <c r="H30" s="45"/>
      <c r="I30" s="45"/>
      <c r="J30" s="45"/>
      <c r="K30" s="45"/>
      <c r="L30" s="191"/>
      <c r="M30" s="191"/>
      <c r="N30" s="191"/>
      <c r="O30" s="191"/>
      <c r="P30" s="112"/>
      <c r="Q30" s="255"/>
      <c r="R30" s="68"/>
      <c r="S30" s="68"/>
      <c r="T30" s="68"/>
      <c r="U30" s="254"/>
      <c r="V30" s="68"/>
      <c r="W30" s="252"/>
      <c r="X30" s="68"/>
      <c r="Y30" s="68"/>
      <c r="Z30" s="68"/>
      <c r="AA30" s="68"/>
      <c r="AC30" s="340"/>
      <c r="AD30" s="423"/>
      <c r="AE30" s="423"/>
      <c r="AF30" s="423" t="s">
        <v>391</v>
      </c>
      <c r="AG30" s="423"/>
      <c r="AH30" s="423"/>
      <c r="AI30" s="423"/>
      <c r="AJ30" s="423"/>
    </row>
    <row r="31" spans="1:36" ht="15" thickBot="1">
      <c r="A31" s="45"/>
      <c r="B31" s="239" t="s">
        <v>37</v>
      </c>
      <c r="C31" s="169">
        <v>2</v>
      </c>
      <c r="D31" s="169">
        <v>0</v>
      </c>
      <c r="E31" s="169">
        <v>2.1</v>
      </c>
      <c r="F31" s="222">
        <v>1</v>
      </c>
      <c r="G31" s="112"/>
      <c r="H31" s="480" t="s">
        <v>169</v>
      </c>
      <c r="I31" s="481"/>
      <c r="J31" s="481"/>
      <c r="K31" s="481"/>
      <c r="L31" s="482"/>
      <c r="M31" s="191"/>
      <c r="N31" s="191"/>
      <c r="O31" s="191"/>
      <c r="P31" s="112"/>
      <c r="Q31" s="256"/>
      <c r="R31" s="252"/>
      <c r="S31" s="252"/>
      <c r="T31" s="252"/>
      <c r="U31" s="252"/>
      <c r="V31" s="254"/>
      <c r="W31" s="252"/>
      <c r="X31" s="68"/>
      <c r="Y31" s="68"/>
      <c r="Z31" s="68"/>
      <c r="AA31" s="68"/>
      <c r="AC31" s="340"/>
      <c r="AD31" s="423" t="s">
        <v>92</v>
      </c>
      <c r="AE31" s="423" t="s">
        <v>252</v>
      </c>
      <c r="AF31" s="423" t="s">
        <v>392</v>
      </c>
      <c r="AG31" s="423" t="s">
        <v>252</v>
      </c>
      <c r="AH31" s="423" t="s">
        <v>243</v>
      </c>
      <c r="AI31" s="423"/>
      <c r="AJ31" s="423" t="s">
        <v>276</v>
      </c>
    </row>
    <row r="32" spans="1:36" ht="13.5" thickBot="1">
      <c r="A32" s="45"/>
      <c r="B32" s="240" t="s">
        <v>39</v>
      </c>
      <c r="C32" s="114">
        <v>4</v>
      </c>
      <c r="D32" s="114">
        <v>3</v>
      </c>
      <c r="E32" s="114">
        <v>2.1</v>
      </c>
      <c r="F32" s="224">
        <v>0.9</v>
      </c>
      <c r="G32" s="191"/>
      <c r="H32" s="206" t="s">
        <v>308</v>
      </c>
      <c r="I32" s="121" t="s">
        <v>29</v>
      </c>
      <c r="J32" s="169" t="s">
        <v>80</v>
      </c>
      <c r="K32" s="169" t="s">
        <v>11</v>
      </c>
      <c r="L32" s="222" t="s">
        <v>33</v>
      </c>
      <c r="M32" s="191"/>
      <c r="N32" s="525" t="s">
        <v>100</v>
      </c>
      <c r="O32" s="492"/>
      <c r="P32" s="496"/>
      <c r="Q32" s="257"/>
      <c r="R32" s="68"/>
      <c r="S32" s="68"/>
      <c r="T32" s="68"/>
      <c r="U32" s="254"/>
      <c r="V32" s="68"/>
      <c r="W32" s="252"/>
      <c r="X32" s="68"/>
      <c r="Y32" s="68"/>
      <c r="Z32" s="68"/>
      <c r="AA32" s="68"/>
      <c r="AC32" s="340" t="s">
        <v>215</v>
      </c>
      <c r="AD32" s="340" t="s">
        <v>20</v>
      </c>
      <c r="AE32" s="428">
        <f>AE27</f>
        <v>43.924125000000004</v>
      </c>
      <c r="AF32" s="424">
        <f>AF6</f>
        <v>18</v>
      </c>
      <c r="AG32" s="438">
        <f>AE32+AE32*AF32/100</f>
        <v>51.830467500000005</v>
      </c>
      <c r="AH32" s="340">
        <f>AD6</f>
        <v>1000</v>
      </c>
      <c r="AI32" s="340"/>
      <c r="AJ32" s="435">
        <f>AG32*AH32</f>
        <v>51830.467500000006</v>
      </c>
    </row>
    <row r="33" spans="1:36" ht="12.75">
      <c r="A33" s="45"/>
      <c r="B33" s="240" t="s">
        <v>38</v>
      </c>
      <c r="C33" s="114">
        <v>2</v>
      </c>
      <c r="D33" s="114">
        <v>2</v>
      </c>
      <c r="E33" s="114">
        <v>2.1</v>
      </c>
      <c r="F33" s="224">
        <v>0.8</v>
      </c>
      <c r="G33" s="191"/>
      <c r="H33" s="183"/>
      <c r="I33" s="113">
        <v>1</v>
      </c>
      <c r="J33" s="114">
        <v>4.14</v>
      </c>
      <c r="K33" s="114">
        <v>0.25</v>
      </c>
      <c r="L33" s="224">
        <v>0.3</v>
      </c>
      <c r="M33" s="191"/>
      <c r="N33" s="483" t="s">
        <v>162</v>
      </c>
      <c r="O33" s="484"/>
      <c r="P33" s="287">
        <v>0.17</v>
      </c>
      <c r="Q33" s="68"/>
      <c r="R33" s="68"/>
      <c r="S33" s="68"/>
      <c r="T33" s="252"/>
      <c r="U33" s="252"/>
      <c r="V33" s="252"/>
      <c r="W33" s="252"/>
      <c r="X33" s="68"/>
      <c r="Y33" s="68"/>
      <c r="Z33" s="68"/>
      <c r="AA33" s="68"/>
      <c r="AC33" s="340" t="s">
        <v>380</v>
      </c>
      <c r="AD33" s="340" t="s">
        <v>20</v>
      </c>
      <c r="AE33" s="428">
        <f>AF27</f>
        <v>13.680008208</v>
      </c>
      <c r="AF33" s="424">
        <f>AF7</f>
        <v>5</v>
      </c>
      <c r="AG33" s="438">
        <f aca="true" t="shared" si="1" ref="AG33:AG39">AE33+AE33*AF33/100</f>
        <v>14.3640086184</v>
      </c>
      <c r="AH33" s="340">
        <f>AD7</f>
        <v>1500</v>
      </c>
      <c r="AI33" s="340"/>
      <c r="AJ33" s="435">
        <f aca="true" t="shared" si="2" ref="AJ33:AJ39">AG33*AH33</f>
        <v>21546.0129276</v>
      </c>
    </row>
    <row r="34" spans="1:36" ht="12.75">
      <c r="A34" s="45"/>
      <c r="B34" s="241" t="s">
        <v>40</v>
      </c>
      <c r="C34" s="114">
        <v>3</v>
      </c>
      <c r="D34" s="114">
        <v>0</v>
      </c>
      <c r="E34" s="114">
        <v>1</v>
      </c>
      <c r="F34" s="224">
        <v>1</v>
      </c>
      <c r="G34" s="191"/>
      <c r="H34" s="183"/>
      <c r="I34" s="113">
        <v>1</v>
      </c>
      <c r="J34" s="114">
        <v>2.48</v>
      </c>
      <c r="K34" s="114">
        <v>0.25</v>
      </c>
      <c r="L34" s="224">
        <v>0.3</v>
      </c>
      <c r="M34" s="191"/>
      <c r="N34" s="485" t="s">
        <v>54</v>
      </c>
      <c r="O34" s="486"/>
      <c r="P34" s="288">
        <v>0.25</v>
      </c>
      <c r="Q34" s="68"/>
      <c r="R34" s="252"/>
      <c r="S34" s="252"/>
      <c r="T34" s="68"/>
      <c r="U34" s="252"/>
      <c r="V34" s="252"/>
      <c r="W34" s="252"/>
      <c r="X34" s="68"/>
      <c r="Y34" s="68"/>
      <c r="Z34" s="68"/>
      <c r="AA34" s="68"/>
      <c r="AC34" s="340" t="s">
        <v>390</v>
      </c>
      <c r="AD34" s="340" t="s">
        <v>20</v>
      </c>
      <c r="AE34" s="428">
        <f>AG27</f>
        <v>27.234204350211026</v>
      </c>
      <c r="AF34" s="424">
        <f>AF8</f>
        <v>5</v>
      </c>
      <c r="AG34" s="438">
        <f t="shared" si="1"/>
        <v>28.59591456772158</v>
      </c>
      <c r="AH34" s="340">
        <f>AD8</f>
        <v>1500</v>
      </c>
      <c r="AI34" s="340"/>
      <c r="AJ34" s="435">
        <f t="shared" si="2"/>
        <v>42893.87185158237</v>
      </c>
    </row>
    <row r="35" spans="1:36" ht="13.5" thickBot="1">
      <c r="A35" s="45"/>
      <c r="B35" s="241" t="s">
        <v>41</v>
      </c>
      <c r="C35" s="114">
        <v>6</v>
      </c>
      <c r="D35" s="114">
        <v>4</v>
      </c>
      <c r="E35" s="114">
        <v>1.35</v>
      </c>
      <c r="F35" s="224">
        <v>1.8</v>
      </c>
      <c r="G35" s="191"/>
      <c r="H35" s="184"/>
      <c r="I35" s="113">
        <v>1</v>
      </c>
      <c r="J35" s="114">
        <v>1.65</v>
      </c>
      <c r="K35" s="114">
        <v>0.25</v>
      </c>
      <c r="L35" s="224">
        <v>0.3</v>
      </c>
      <c r="M35" s="191"/>
      <c r="N35" s="485" t="s">
        <v>66</v>
      </c>
      <c r="O35" s="486"/>
      <c r="P35" s="264">
        <v>1</v>
      </c>
      <c r="Q35" s="68"/>
      <c r="R35" s="252"/>
      <c r="S35" s="252"/>
      <c r="T35" s="252"/>
      <c r="U35" s="68"/>
      <c r="V35" s="252"/>
      <c r="W35" s="252"/>
      <c r="X35" s="68"/>
      <c r="Y35" s="68"/>
      <c r="Z35" s="68"/>
      <c r="AA35" s="68"/>
      <c r="AC35" s="340" t="s">
        <v>142</v>
      </c>
      <c r="AD35" s="340" t="s">
        <v>20</v>
      </c>
      <c r="AE35" s="428">
        <f>AH27</f>
        <v>67.60578883562766</v>
      </c>
      <c r="AF35" s="424">
        <f>AF9</f>
        <v>5</v>
      </c>
      <c r="AG35" s="438">
        <f>AE35+AE35*AF35/100</f>
        <v>70.98607827740905</v>
      </c>
      <c r="AH35" s="340">
        <f>AD9</f>
        <v>1500</v>
      </c>
      <c r="AI35" s="340"/>
      <c r="AJ35" s="435">
        <f t="shared" si="2"/>
        <v>106479.11741611357</v>
      </c>
    </row>
    <row r="36" spans="1:36" ht="13.5" thickBot="1">
      <c r="A36" s="45"/>
      <c r="B36" s="241" t="s">
        <v>42</v>
      </c>
      <c r="C36" s="114">
        <v>2</v>
      </c>
      <c r="D36" s="114">
        <v>0</v>
      </c>
      <c r="E36" s="114">
        <v>1.35</v>
      </c>
      <c r="F36" s="224">
        <v>1.2</v>
      </c>
      <c r="G36" s="191"/>
      <c r="H36" s="207" t="s">
        <v>309</v>
      </c>
      <c r="I36" s="113">
        <v>0</v>
      </c>
      <c r="J36" s="114">
        <v>0</v>
      </c>
      <c r="K36" s="114">
        <v>0</v>
      </c>
      <c r="L36" s="224">
        <v>0</v>
      </c>
      <c r="M36" s="191"/>
      <c r="N36" s="517" t="s">
        <v>56</v>
      </c>
      <c r="O36" s="473"/>
      <c r="P36" s="51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C36" s="340" t="s">
        <v>141</v>
      </c>
      <c r="AD36" s="340" t="s">
        <v>144</v>
      </c>
      <c r="AE36" s="428">
        <f>AI27</f>
        <v>504.78385673694123</v>
      </c>
      <c r="AF36" s="424">
        <f>AF4</f>
        <v>5</v>
      </c>
      <c r="AG36" s="438">
        <f t="shared" si="1"/>
        <v>530.0230495737883</v>
      </c>
      <c r="AH36" s="340">
        <f>AD4</f>
        <v>250</v>
      </c>
      <c r="AI36" s="340"/>
      <c r="AJ36" s="435">
        <f t="shared" si="2"/>
        <v>132505.76239344708</v>
      </c>
    </row>
    <row r="37" spans="1:36" ht="12.75">
      <c r="A37" s="45"/>
      <c r="B37" s="241" t="s">
        <v>43</v>
      </c>
      <c r="C37" s="114">
        <v>1</v>
      </c>
      <c r="D37" s="114">
        <v>0</v>
      </c>
      <c r="E37" s="114">
        <v>1</v>
      </c>
      <c r="F37" s="224">
        <v>1.5</v>
      </c>
      <c r="G37" s="191"/>
      <c r="H37" s="183"/>
      <c r="I37" s="113">
        <v>0</v>
      </c>
      <c r="J37" s="114">
        <v>0</v>
      </c>
      <c r="K37" s="114">
        <v>0</v>
      </c>
      <c r="L37" s="335">
        <v>0</v>
      </c>
      <c r="M37" s="191"/>
      <c r="N37" s="519" t="s">
        <v>57</v>
      </c>
      <c r="O37" s="486"/>
      <c r="P37" s="287">
        <v>0.25</v>
      </c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C37" s="340" t="s">
        <v>165</v>
      </c>
      <c r="AD37" s="340" t="s">
        <v>132</v>
      </c>
      <c r="AE37" s="428">
        <f>AJ27</f>
        <v>39174.307047591545</v>
      </c>
      <c r="AF37" s="424">
        <f>AF10</f>
        <v>5</v>
      </c>
      <c r="AG37" s="438">
        <f t="shared" si="1"/>
        <v>41133.02239997112</v>
      </c>
      <c r="AH37" s="340">
        <f>AD10</f>
        <v>3</v>
      </c>
      <c r="AI37" s="340"/>
      <c r="AJ37" s="435">
        <f t="shared" si="2"/>
        <v>123399.06719991338</v>
      </c>
    </row>
    <row r="38" spans="1:36" ht="13.5" thickBot="1">
      <c r="A38" s="45"/>
      <c r="B38" s="240" t="s">
        <v>44</v>
      </c>
      <c r="C38" s="114">
        <v>2</v>
      </c>
      <c r="D38" s="114">
        <v>2</v>
      </c>
      <c r="E38" s="114">
        <v>0.9</v>
      </c>
      <c r="F38" s="224">
        <v>0.6</v>
      </c>
      <c r="G38" s="191"/>
      <c r="H38" s="184"/>
      <c r="I38" s="218">
        <v>0</v>
      </c>
      <c r="J38" s="219">
        <v>0</v>
      </c>
      <c r="K38" s="334">
        <v>0</v>
      </c>
      <c r="L38" s="224">
        <v>0</v>
      </c>
      <c r="M38" s="191"/>
      <c r="N38" s="485" t="s">
        <v>58</v>
      </c>
      <c r="O38" s="486"/>
      <c r="P38" s="288">
        <v>12</v>
      </c>
      <c r="Q38" s="68"/>
      <c r="R38" s="68"/>
      <c r="S38" s="68"/>
      <c r="T38" s="252"/>
      <c r="U38" s="252"/>
      <c r="V38" s="252"/>
      <c r="W38" s="68"/>
      <c r="X38" s="252"/>
      <c r="Y38" s="68"/>
      <c r="Z38" s="68"/>
      <c r="AA38" s="68"/>
      <c r="AC38" s="340" t="s">
        <v>181</v>
      </c>
      <c r="AD38" s="340" t="s">
        <v>193</v>
      </c>
      <c r="AE38" s="428">
        <f>AK27</f>
        <v>3.185255105545991</v>
      </c>
      <c r="AF38" s="424">
        <f>AF5</f>
        <v>2</v>
      </c>
      <c r="AG38" s="438">
        <f t="shared" si="1"/>
        <v>3.2489602076569106</v>
      </c>
      <c r="AH38" s="340">
        <f>AD5</f>
        <v>35000</v>
      </c>
      <c r="AI38" s="340"/>
      <c r="AJ38" s="435">
        <f t="shared" si="2"/>
        <v>113713.60726799187</v>
      </c>
    </row>
    <row r="39" spans="1:36" ht="13.5" thickBot="1">
      <c r="A39" s="45"/>
      <c r="B39" s="242" t="s">
        <v>45</v>
      </c>
      <c r="C39" s="219">
        <v>0</v>
      </c>
      <c r="D39" s="219">
        <v>0</v>
      </c>
      <c r="E39" s="219">
        <v>0</v>
      </c>
      <c r="F39" s="228">
        <v>0</v>
      </c>
      <c r="G39" s="191"/>
      <c r="H39" s="477" t="s">
        <v>191</v>
      </c>
      <c r="I39" s="478"/>
      <c r="J39" s="478"/>
      <c r="K39" s="479"/>
      <c r="L39" s="333">
        <v>0.15</v>
      </c>
      <c r="M39" s="191"/>
      <c r="N39" s="513" t="s">
        <v>67</v>
      </c>
      <c r="O39" s="501"/>
      <c r="P39" s="264">
        <v>0.12</v>
      </c>
      <c r="Q39" s="68"/>
      <c r="R39" s="68"/>
      <c r="S39" s="68"/>
      <c r="T39" s="252"/>
      <c r="U39" s="252"/>
      <c r="V39" s="252"/>
      <c r="W39" s="252"/>
      <c r="X39" s="252"/>
      <c r="Y39" s="68"/>
      <c r="Z39" s="68"/>
      <c r="AA39" s="68"/>
      <c r="AC39" s="340" t="s">
        <v>388</v>
      </c>
      <c r="AD39" s="340" t="s">
        <v>20</v>
      </c>
      <c r="AE39" s="428">
        <f>AL27</f>
        <v>1.3594700000000006</v>
      </c>
      <c r="AF39" s="424">
        <f>AF11</f>
        <v>2</v>
      </c>
      <c r="AG39" s="438">
        <f t="shared" si="1"/>
        <v>1.3866594000000005</v>
      </c>
      <c r="AH39" s="340">
        <f>AD11</f>
        <v>40000</v>
      </c>
      <c r="AI39" s="340"/>
      <c r="AJ39" s="435">
        <f t="shared" si="2"/>
        <v>55466.37600000002</v>
      </c>
    </row>
    <row r="40" spans="1:36" ht="13.5" thickBot="1">
      <c r="A40" s="45"/>
      <c r="B40" s="197" t="s">
        <v>199</v>
      </c>
      <c r="C40" s="112"/>
      <c r="D40" s="112"/>
      <c r="E40" s="112"/>
      <c r="F40" s="191"/>
      <c r="G40" s="191"/>
      <c r="H40" s="191"/>
      <c r="I40" s="191"/>
      <c r="J40" s="112"/>
      <c r="K40" s="112"/>
      <c r="L40" s="45"/>
      <c r="M40" s="45"/>
      <c r="N40" s="45"/>
      <c r="O40" s="45"/>
      <c r="P40" s="45"/>
      <c r="Q40" s="68"/>
      <c r="R40" s="68"/>
      <c r="S40" s="68"/>
      <c r="T40" s="68"/>
      <c r="U40" s="68"/>
      <c r="V40" s="252"/>
      <c r="W40" s="252"/>
      <c r="X40" s="252"/>
      <c r="Y40" s="68"/>
      <c r="Z40" s="68"/>
      <c r="AA40" s="68"/>
      <c r="AJ40" s="436">
        <f>SUM(AJ32:AJ39)</f>
        <v>647834.2825566482</v>
      </c>
    </row>
    <row r="41" spans="1:36" ht="13.5" thickBot="1">
      <c r="A41" s="120"/>
      <c r="B41" s="198" t="s">
        <v>308</v>
      </c>
      <c r="C41" s="199"/>
      <c r="D41" s="280" t="s">
        <v>80</v>
      </c>
      <c r="E41" s="281" t="s">
        <v>11</v>
      </c>
      <c r="F41" s="191"/>
      <c r="G41" s="45"/>
      <c r="H41" s="489" t="s">
        <v>79</v>
      </c>
      <c r="I41" s="490"/>
      <c r="J41" s="191"/>
      <c r="K41" s="45"/>
      <c r="L41" s="522" t="s">
        <v>120</v>
      </c>
      <c r="M41" s="492"/>
      <c r="N41" s="496"/>
      <c r="O41" s="520" t="s">
        <v>221</v>
      </c>
      <c r="P41" s="521"/>
      <c r="Q41" s="68"/>
      <c r="R41" s="68"/>
      <c r="S41" s="68"/>
      <c r="T41" s="252"/>
      <c r="U41" s="252"/>
      <c r="V41" s="252"/>
      <c r="W41" s="252"/>
      <c r="X41" s="252"/>
      <c r="Y41" s="68"/>
      <c r="Z41" s="68"/>
      <c r="AA41" s="68"/>
      <c r="AJ41" s="283"/>
    </row>
    <row r="42" spans="1:36" ht="16.5" thickBot="1">
      <c r="A42" s="111"/>
      <c r="B42" s="472" t="s">
        <v>93</v>
      </c>
      <c r="C42" s="473"/>
      <c r="D42" s="278">
        <v>4</v>
      </c>
      <c r="E42" s="279">
        <v>3</v>
      </c>
      <c r="F42" s="191"/>
      <c r="G42" s="45"/>
      <c r="H42" s="200"/>
      <c r="I42" s="276" t="s">
        <v>253</v>
      </c>
      <c r="J42" s="191"/>
      <c r="K42" s="45"/>
      <c r="L42" s="201" t="s">
        <v>121</v>
      </c>
      <c r="M42" s="324">
        <v>0.6</v>
      </c>
      <c r="N42" s="316"/>
      <c r="O42" s="325" t="s">
        <v>308</v>
      </c>
      <c r="P42" s="326" t="s">
        <v>309</v>
      </c>
      <c r="Q42" s="68"/>
      <c r="R42" s="68"/>
      <c r="S42" s="68"/>
      <c r="T42" s="68"/>
      <c r="U42" s="252"/>
      <c r="V42" s="68"/>
      <c r="W42" s="68"/>
      <c r="X42" s="252"/>
      <c r="Y42" s="68"/>
      <c r="Z42" s="68"/>
      <c r="AA42" s="68"/>
      <c r="AF42" t="s">
        <v>430</v>
      </c>
      <c r="AH42" s="359">
        <v>30</v>
      </c>
      <c r="AI42" t="s">
        <v>183</v>
      </c>
      <c r="AJ42" s="437">
        <f>AJ40+AJ40*AH42/100</f>
        <v>842184.5673236428</v>
      </c>
    </row>
    <row r="43" spans="1:36" ht="16.5" thickBot="1">
      <c r="A43" s="111"/>
      <c r="B43" s="472" t="s">
        <v>94</v>
      </c>
      <c r="C43" s="473"/>
      <c r="D43" s="270">
        <v>2.8</v>
      </c>
      <c r="E43" s="271">
        <v>2</v>
      </c>
      <c r="F43" s="191"/>
      <c r="G43" s="45"/>
      <c r="H43" s="202"/>
      <c r="I43" s="277" t="s">
        <v>8</v>
      </c>
      <c r="J43" s="191"/>
      <c r="K43" s="45"/>
      <c r="L43" s="203" t="s">
        <v>131</v>
      </c>
      <c r="M43" s="321">
        <v>0.05</v>
      </c>
      <c r="N43" s="263"/>
      <c r="O43" s="322" t="s">
        <v>307</v>
      </c>
      <c r="P43" s="323" t="s">
        <v>307</v>
      </c>
      <c r="Q43" s="68"/>
      <c r="R43" s="68"/>
      <c r="S43" s="68"/>
      <c r="T43" s="252"/>
      <c r="U43" s="252"/>
      <c r="V43" s="252"/>
      <c r="W43" s="252"/>
      <c r="X43" s="252"/>
      <c r="Y43" s="68"/>
      <c r="Z43" s="68"/>
      <c r="AA43" s="68"/>
      <c r="AF43" t="s">
        <v>431</v>
      </c>
      <c r="AH43" s="359">
        <v>7</v>
      </c>
      <c r="AI43" t="s">
        <v>183</v>
      </c>
      <c r="AJ43" s="437">
        <f>AJ42+AJ42*AH43/100</f>
        <v>901137.4870362978</v>
      </c>
    </row>
    <row r="44" spans="1:27" ht="16.5" thickBot="1">
      <c r="A44" s="111"/>
      <c r="B44" s="472" t="s">
        <v>97</v>
      </c>
      <c r="C44" s="473"/>
      <c r="D44" s="270">
        <v>4</v>
      </c>
      <c r="E44" s="271">
        <v>3.3</v>
      </c>
      <c r="F44" s="112"/>
      <c r="G44" s="45"/>
      <c r="H44" s="208" t="str">
        <f>IF(I42="c","D","B")</f>
        <v>B</v>
      </c>
      <c r="I44" s="243">
        <v>0.45</v>
      </c>
      <c r="J44" s="112"/>
      <c r="K44" s="112"/>
      <c r="L44" s="112"/>
      <c r="M44" s="112"/>
      <c r="N44" s="112"/>
      <c r="O44" s="112"/>
      <c r="P44" s="112"/>
      <c r="Q44" s="68"/>
      <c r="R44" s="68"/>
      <c r="S44" s="68"/>
      <c r="T44" s="68"/>
      <c r="U44" s="252"/>
      <c r="V44" s="68"/>
      <c r="W44" s="252"/>
      <c r="X44" s="68"/>
      <c r="Y44" s="68"/>
      <c r="Z44" s="68"/>
      <c r="AA44" s="68"/>
    </row>
    <row r="45" spans="1:27" ht="13.5" thickBot="1">
      <c r="A45" s="111"/>
      <c r="B45" s="472" t="s">
        <v>98</v>
      </c>
      <c r="C45" s="473"/>
      <c r="D45" s="270">
        <v>4</v>
      </c>
      <c r="E45" s="271">
        <v>3.5</v>
      </c>
      <c r="F45" s="112"/>
      <c r="G45" s="45"/>
      <c r="H45" s="118" t="s">
        <v>31</v>
      </c>
      <c r="I45" s="243">
        <v>3.5</v>
      </c>
      <c r="J45" s="191"/>
      <c r="K45" s="191"/>
      <c r="L45" s="191"/>
      <c r="M45" s="514" t="s">
        <v>298</v>
      </c>
      <c r="N45" s="492"/>
      <c r="O45" s="492"/>
      <c r="P45" s="496"/>
      <c r="Q45" s="68"/>
      <c r="R45" s="68"/>
      <c r="S45" s="68"/>
      <c r="T45" s="252"/>
      <c r="U45" s="252"/>
      <c r="V45" s="252"/>
      <c r="W45" s="252"/>
      <c r="X45" s="252"/>
      <c r="Y45" s="68"/>
      <c r="Z45" s="68"/>
      <c r="AA45" s="68"/>
    </row>
    <row r="46" spans="1:27" ht="13.5" thickBot="1">
      <c r="A46" s="111"/>
      <c r="B46" s="472" t="s">
        <v>99</v>
      </c>
      <c r="C46" s="473"/>
      <c r="D46" s="270">
        <v>5.2</v>
      </c>
      <c r="E46" s="271">
        <v>3.5</v>
      </c>
      <c r="F46" s="112"/>
      <c r="G46" s="45"/>
      <c r="H46" s="119" t="s">
        <v>132</v>
      </c>
      <c r="I46" s="244">
        <v>2</v>
      </c>
      <c r="J46" s="191"/>
      <c r="K46" s="191"/>
      <c r="L46" s="191"/>
      <c r="M46" s="245"/>
      <c r="N46" s="487" t="s">
        <v>131</v>
      </c>
      <c r="O46" s="488"/>
      <c r="P46" s="246">
        <v>0.04</v>
      </c>
      <c r="Q46" s="68"/>
      <c r="R46" s="68"/>
      <c r="S46" s="68"/>
      <c r="T46" s="252"/>
      <c r="U46" s="252"/>
      <c r="V46" s="252"/>
      <c r="W46" s="252"/>
      <c r="X46" s="252"/>
      <c r="Y46" s="68"/>
      <c r="Z46" s="68"/>
      <c r="AA46" s="68"/>
    </row>
    <row r="47" spans="1:29" ht="13.5" thickBot="1">
      <c r="A47" s="111"/>
      <c r="B47" s="472" t="s">
        <v>101</v>
      </c>
      <c r="C47" s="473"/>
      <c r="D47" s="270">
        <v>4</v>
      </c>
      <c r="E47" s="271">
        <v>3.5</v>
      </c>
      <c r="F47" s="112"/>
      <c r="G47" s="191"/>
      <c r="H47" s="45"/>
      <c r="I47" s="45"/>
      <c r="J47" s="191"/>
      <c r="K47" s="191"/>
      <c r="L47" s="191"/>
      <c r="M47" s="247" t="s">
        <v>308</v>
      </c>
      <c r="N47" s="169" t="s">
        <v>29</v>
      </c>
      <c r="O47" s="169" t="s">
        <v>80</v>
      </c>
      <c r="P47" s="222" t="s">
        <v>254</v>
      </c>
      <c r="Q47" s="45"/>
      <c r="R47" s="45"/>
      <c r="S47" s="45"/>
      <c r="U47" s="111"/>
      <c r="V47" s="111"/>
      <c r="W47" s="111"/>
      <c r="X47" s="45"/>
      <c r="Y47" s="45"/>
      <c r="Z47" s="45"/>
      <c r="AA47" s="45"/>
      <c r="AC47" t="s">
        <v>394</v>
      </c>
    </row>
    <row r="48" spans="1:27" ht="13.5" thickBot="1">
      <c r="A48" s="111"/>
      <c r="B48" s="472" t="s">
        <v>102</v>
      </c>
      <c r="C48" s="473"/>
      <c r="D48" s="270">
        <v>4.25</v>
      </c>
      <c r="E48" s="271">
        <v>2</v>
      </c>
      <c r="F48" s="112"/>
      <c r="G48" s="191"/>
      <c r="H48" s="319" t="s">
        <v>112</v>
      </c>
      <c r="I48" s="320"/>
      <c r="J48" s="313"/>
      <c r="L48" s="191"/>
      <c r="M48" s="248" t="s">
        <v>255</v>
      </c>
      <c r="N48" s="114">
        <v>2</v>
      </c>
      <c r="O48" s="114">
        <v>3</v>
      </c>
      <c r="P48" s="224">
        <v>0.45</v>
      </c>
      <c r="Q48" s="45"/>
      <c r="R48" s="45"/>
      <c r="T48" s="111"/>
      <c r="U48" s="111"/>
      <c r="V48" s="111"/>
      <c r="W48" s="111"/>
      <c r="X48" s="111"/>
      <c r="Y48" s="45"/>
      <c r="Z48" s="45"/>
      <c r="AA48" s="45"/>
    </row>
    <row r="49" spans="1:27" ht="12.75">
      <c r="A49" s="111"/>
      <c r="B49" s="472" t="s">
        <v>95</v>
      </c>
      <c r="C49" s="473"/>
      <c r="D49" s="270">
        <v>2.6</v>
      </c>
      <c r="E49" s="271">
        <v>1.6</v>
      </c>
      <c r="F49" s="112"/>
      <c r="G49" s="191"/>
      <c r="H49" s="317" t="s">
        <v>306</v>
      </c>
      <c r="I49" s="318"/>
      <c r="J49" s="121">
        <v>15</v>
      </c>
      <c r="L49" s="191"/>
      <c r="M49" s="248"/>
      <c r="N49" s="114">
        <v>1</v>
      </c>
      <c r="O49" s="114">
        <v>2.5</v>
      </c>
      <c r="P49" s="224">
        <v>0.45</v>
      </c>
      <c r="Q49" s="45"/>
      <c r="R49" s="45"/>
      <c r="S49" s="210"/>
      <c r="U49" s="45"/>
      <c r="V49" s="45"/>
      <c r="W49" s="45"/>
      <c r="X49" s="45"/>
      <c r="AA49" s="45"/>
    </row>
    <row r="50" spans="1:27" ht="12.75">
      <c r="A50" s="111"/>
      <c r="B50" s="472" t="s">
        <v>96</v>
      </c>
      <c r="C50" s="473"/>
      <c r="D50" s="270">
        <v>2.6</v>
      </c>
      <c r="E50" s="271">
        <v>1.5</v>
      </c>
      <c r="F50" s="112"/>
      <c r="G50" s="191"/>
      <c r="H50" s="314" t="s">
        <v>305</v>
      </c>
      <c r="I50" s="315" t="s">
        <v>206</v>
      </c>
      <c r="J50" s="113">
        <v>4</v>
      </c>
      <c r="L50" s="191"/>
      <c r="M50" s="248" t="s">
        <v>256</v>
      </c>
      <c r="N50" s="114">
        <v>1</v>
      </c>
      <c r="O50" s="114">
        <v>3</v>
      </c>
      <c r="P50" s="224">
        <v>0.45</v>
      </c>
      <c r="Q50" s="45"/>
      <c r="R50" s="45"/>
      <c r="S50" s="45"/>
      <c r="T50" s="116"/>
      <c r="U50" s="45"/>
      <c r="V50" s="45"/>
      <c r="W50" s="45"/>
      <c r="X50" s="45"/>
      <c r="Y50" s="45"/>
      <c r="Z50" s="115"/>
      <c r="AA50" s="45"/>
    </row>
    <row r="51" spans="1:27" ht="12.75">
      <c r="A51" s="111"/>
      <c r="B51" s="472" t="s">
        <v>103</v>
      </c>
      <c r="C51" s="473"/>
      <c r="D51" s="270">
        <v>0</v>
      </c>
      <c r="E51" s="271">
        <v>0</v>
      </c>
      <c r="F51" s="112"/>
      <c r="G51" s="191"/>
      <c r="H51" s="45"/>
      <c r="I51" s="45"/>
      <c r="J51" s="191"/>
      <c r="K51" s="191"/>
      <c r="L51" s="191"/>
      <c r="M51" s="248"/>
      <c r="N51" s="114">
        <v>1</v>
      </c>
      <c r="O51" s="114">
        <v>3.5</v>
      </c>
      <c r="P51" s="224">
        <v>0.45</v>
      </c>
      <c r="Q51" s="45"/>
      <c r="S51" s="210">
        <f>E7</f>
        <v>0.35</v>
      </c>
      <c r="T51" s="45"/>
      <c r="U51" s="45"/>
      <c r="V51" s="45"/>
      <c r="W51" s="45"/>
      <c r="X51" s="45"/>
      <c r="Y51" s="45"/>
      <c r="Z51" s="45"/>
      <c r="AA51" s="45"/>
    </row>
    <row r="52" spans="1:27" ht="12.75">
      <c r="A52" s="111"/>
      <c r="B52" s="472" t="s">
        <v>405</v>
      </c>
      <c r="C52" s="473"/>
      <c r="D52" s="270">
        <v>0</v>
      </c>
      <c r="E52" s="271">
        <v>0</v>
      </c>
      <c r="F52" s="112"/>
      <c r="G52" s="191"/>
      <c r="H52" s="45"/>
      <c r="I52" s="45"/>
      <c r="J52" s="191"/>
      <c r="K52" s="191"/>
      <c r="L52" s="191"/>
      <c r="M52" s="248" t="s">
        <v>257</v>
      </c>
      <c r="N52" s="114">
        <v>1</v>
      </c>
      <c r="O52" s="114">
        <v>2.5</v>
      </c>
      <c r="P52" s="224">
        <v>0.45</v>
      </c>
      <c r="Q52" s="115" t="s">
        <v>4</v>
      </c>
      <c r="R52" s="168">
        <f>Data!D7</f>
        <v>0.45</v>
      </c>
      <c r="S52" s="45"/>
      <c r="T52" s="45"/>
      <c r="V52" s="45"/>
      <c r="W52" s="45"/>
      <c r="X52" s="45"/>
      <c r="AA52" s="45"/>
    </row>
    <row r="53" spans="1:26" ht="16.5" thickBot="1">
      <c r="A53" s="111"/>
      <c r="B53" s="470" t="s">
        <v>315</v>
      </c>
      <c r="C53" s="471"/>
      <c r="D53" s="272">
        <v>4</v>
      </c>
      <c r="E53" s="273">
        <v>2</v>
      </c>
      <c r="F53" s="112"/>
      <c r="G53" s="191"/>
      <c r="H53" s="191"/>
      <c r="I53" s="191"/>
      <c r="J53" s="327"/>
      <c r="K53" s="112"/>
      <c r="L53" s="191"/>
      <c r="M53" s="248" t="s">
        <v>258</v>
      </c>
      <c r="N53" s="114">
        <v>1</v>
      </c>
      <c r="O53" s="114">
        <v>4</v>
      </c>
      <c r="P53" s="224">
        <v>0.45</v>
      </c>
      <c r="S53" s="45"/>
      <c r="T53" s="115"/>
      <c r="U53" s="45"/>
      <c r="V53" s="45"/>
      <c r="W53" s="45"/>
      <c r="X53" s="45"/>
      <c r="Y53" s="45"/>
      <c r="Z53" s="117"/>
    </row>
    <row r="54" spans="1:39" ht="13.5" thickBot="1">
      <c r="A54" s="111"/>
      <c r="B54" s="495" t="s">
        <v>309</v>
      </c>
      <c r="C54" s="492"/>
      <c r="D54" s="492"/>
      <c r="E54" s="496"/>
      <c r="F54" s="112"/>
      <c r="G54" s="191"/>
      <c r="H54" s="191"/>
      <c r="I54" s="191"/>
      <c r="J54" s="191"/>
      <c r="K54" s="191"/>
      <c r="L54" s="191"/>
      <c r="M54" s="248"/>
      <c r="N54" s="114">
        <v>0</v>
      </c>
      <c r="O54" s="114">
        <v>0</v>
      </c>
      <c r="P54" s="224">
        <v>0</v>
      </c>
      <c r="Q54" s="115" t="s">
        <v>5</v>
      </c>
      <c r="R54" s="168">
        <f>Data!D6</f>
        <v>0.3</v>
      </c>
      <c r="S54" s="117">
        <f>E6</f>
        <v>0.55</v>
      </c>
      <c r="T54" s="45"/>
      <c r="V54" s="45"/>
      <c r="W54" s="45"/>
      <c r="X54" s="45"/>
      <c r="Y54" s="45"/>
      <c r="AA54" s="45"/>
      <c r="AD54" s="34"/>
      <c r="AM54" s="34"/>
    </row>
    <row r="55" spans="1:26" ht="12.75">
      <c r="A55" s="111"/>
      <c r="B55" s="497" t="s">
        <v>104</v>
      </c>
      <c r="C55" s="498"/>
      <c r="D55" s="274">
        <v>4</v>
      </c>
      <c r="E55" s="275">
        <v>3.5</v>
      </c>
      <c r="F55" s="112"/>
      <c r="G55" s="191"/>
      <c r="H55" s="191"/>
      <c r="K55" s="191"/>
      <c r="L55" s="191"/>
      <c r="M55" s="474" t="s">
        <v>309</v>
      </c>
      <c r="N55" s="475"/>
      <c r="O55" s="475"/>
      <c r="P55" s="476"/>
      <c r="S55" s="45"/>
      <c r="T55" s="115"/>
      <c r="U55" s="45"/>
      <c r="V55" s="45"/>
      <c r="W55" s="45"/>
      <c r="X55" s="45"/>
      <c r="Y55" s="45"/>
      <c r="Z55" s="115"/>
    </row>
    <row r="56" spans="1:27" ht="12.75">
      <c r="A56" s="111"/>
      <c r="B56" s="472" t="s">
        <v>104</v>
      </c>
      <c r="C56" s="473"/>
      <c r="D56" s="270">
        <v>4</v>
      </c>
      <c r="E56" s="271">
        <v>3.3</v>
      </c>
      <c r="F56" s="112"/>
      <c r="G56" s="191"/>
      <c r="H56" s="191"/>
      <c r="I56" s="191"/>
      <c r="J56" s="191"/>
      <c r="K56" s="191"/>
      <c r="L56" s="191"/>
      <c r="M56" s="248" t="s">
        <v>258</v>
      </c>
      <c r="N56" s="114">
        <v>1</v>
      </c>
      <c r="O56" s="114">
        <v>4</v>
      </c>
      <c r="P56" s="224">
        <v>0.45</v>
      </c>
      <c r="Q56" s="115" t="s">
        <v>6</v>
      </c>
      <c r="R56" s="168">
        <f>Data!D5</f>
        <v>0.3</v>
      </c>
      <c r="S56" s="117">
        <f>E5</f>
        <v>0.75</v>
      </c>
      <c r="V56" s="45"/>
      <c r="W56" s="45"/>
      <c r="X56" s="45"/>
      <c r="Y56" s="45"/>
      <c r="AA56" s="45"/>
    </row>
    <row r="57" spans="1:27" ht="13.5" thickBot="1">
      <c r="A57" s="111"/>
      <c r="B57" s="472" t="s">
        <v>95</v>
      </c>
      <c r="C57" s="473"/>
      <c r="D57" s="270">
        <v>2.6</v>
      </c>
      <c r="E57" s="271">
        <v>1.6</v>
      </c>
      <c r="F57" s="112"/>
      <c r="G57" s="191"/>
      <c r="H57" s="191"/>
      <c r="I57" s="112"/>
      <c r="J57" s="112"/>
      <c r="K57" s="191"/>
      <c r="L57" s="191"/>
      <c r="M57" s="249"/>
      <c r="N57" s="219">
        <v>0</v>
      </c>
      <c r="O57" s="219">
        <v>0</v>
      </c>
      <c r="P57" s="228">
        <v>0</v>
      </c>
      <c r="T57" s="115"/>
      <c r="U57" s="45"/>
      <c r="V57" s="45"/>
      <c r="W57" s="45"/>
      <c r="X57" s="45"/>
      <c r="Y57" s="45"/>
      <c r="Z57" s="45"/>
      <c r="AA57" s="116"/>
    </row>
    <row r="58" spans="1:27" ht="12.75">
      <c r="A58" s="111"/>
      <c r="B58" s="472" t="s">
        <v>96</v>
      </c>
      <c r="C58" s="473"/>
      <c r="D58" s="270">
        <v>2.6</v>
      </c>
      <c r="E58" s="271">
        <v>1.5</v>
      </c>
      <c r="F58" s="112"/>
      <c r="G58" s="191"/>
      <c r="H58" s="191"/>
      <c r="I58" s="112"/>
      <c r="J58" s="112"/>
      <c r="K58" s="191"/>
      <c r="L58" s="191"/>
      <c r="M58" s="191"/>
      <c r="N58" s="191"/>
      <c r="O58" s="112"/>
      <c r="P58" s="112"/>
      <c r="Q58" s="115" t="s">
        <v>7</v>
      </c>
      <c r="R58" s="418">
        <f>D8</f>
        <v>0</v>
      </c>
      <c r="S58" s="45"/>
      <c r="T58" s="45"/>
      <c r="W58" s="45"/>
      <c r="X58" s="45"/>
      <c r="Y58" s="45"/>
      <c r="Z58" s="45"/>
      <c r="AA58" s="45"/>
    </row>
    <row r="59" spans="1:27" ht="13.5" thickBot="1">
      <c r="A59" s="111"/>
      <c r="B59" s="470" t="s">
        <v>405</v>
      </c>
      <c r="C59" s="471"/>
      <c r="D59" s="272">
        <v>5</v>
      </c>
      <c r="E59" s="273">
        <v>2</v>
      </c>
      <c r="F59" s="112"/>
      <c r="G59" s="191"/>
      <c r="H59" s="191"/>
      <c r="I59" s="112"/>
      <c r="J59" s="112"/>
      <c r="K59" s="191"/>
      <c r="L59" s="191"/>
      <c r="M59" s="191"/>
      <c r="N59" s="191"/>
      <c r="O59" s="112"/>
      <c r="P59" s="112"/>
      <c r="R59" s="116"/>
      <c r="S59" s="117">
        <f>E4</f>
        <v>0.95</v>
      </c>
      <c r="U59" s="115" t="s">
        <v>152</v>
      </c>
      <c r="V59" s="45"/>
      <c r="W59" s="45"/>
      <c r="X59" s="45"/>
      <c r="Y59" s="45"/>
      <c r="Z59" s="45"/>
      <c r="AA59" s="45"/>
    </row>
    <row r="60" spans="1:27" ht="12.75">
      <c r="A60" s="111"/>
      <c r="B60" s="45"/>
      <c r="C60" s="45"/>
      <c r="D60" s="45"/>
      <c r="E60" s="45"/>
      <c r="F60" s="45"/>
      <c r="G60" s="111"/>
      <c r="H60" s="111"/>
      <c r="I60" s="111"/>
      <c r="J60" s="111"/>
      <c r="K60" s="45"/>
      <c r="L60" s="45"/>
      <c r="M60" s="45"/>
      <c r="N60" s="45"/>
      <c r="O60" s="111"/>
      <c r="P60" s="111"/>
      <c r="Q60" s="45"/>
      <c r="R60" s="45"/>
      <c r="T60" s="45"/>
      <c r="V60" s="45"/>
      <c r="W60" s="45"/>
      <c r="X60" s="45"/>
      <c r="Y60" s="45"/>
      <c r="Z60" s="45"/>
      <c r="AA60" s="45"/>
    </row>
    <row r="61" spans="6:16" ht="12.75">
      <c r="F61" s="45"/>
      <c r="G61" s="45"/>
      <c r="H61" s="67"/>
      <c r="I61" s="45"/>
      <c r="J61" s="45"/>
      <c r="K61" s="45"/>
      <c r="L61" s="45"/>
      <c r="M61" s="45"/>
      <c r="N61" s="45"/>
      <c r="O61" s="45"/>
      <c r="P61" s="45"/>
    </row>
    <row r="62" spans="2:16" ht="12.75">
      <c r="B62" s="45"/>
      <c r="C62" s="176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</row>
    <row r="63" spans="6:16" ht="12.75"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</row>
    <row r="64" spans="6:16" ht="12.75"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6:16" ht="12.75"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2:16" ht="12.7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</row>
    <row r="67" spans="2:16" ht="12.7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</row>
    <row r="68" spans="2:16" ht="12.7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</row>
    <row r="69" spans="2:16" ht="12.7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</row>
    <row r="70" spans="1:5" ht="12.75">
      <c r="A70" s="21"/>
      <c r="B70" s="75"/>
      <c r="C70" s="72"/>
      <c r="D70" s="76"/>
      <c r="E70" s="76"/>
    </row>
    <row r="71" spans="1:5" ht="12.75">
      <c r="A71" s="21"/>
      <c r="B71" s="21"/>
      <c r="C71" s="21"/>
      <c r="D71" s="21"/>
      <c r="E71" s="21"/>
    </row>
    <row r="72" spans="1:5" ht="12.75">
      <c r="A72" s="21"/>
      <c r="B72" s="21"/>
      <c r="C72" s="21"/>
      <c r="D72" s="21"/>
      <c r="E72" s="21"/>
    </row>
    <row r="73" spans="1:5" ht="12.75">
      <c r="A73" s="21"/>
      <c r="B73" s="21"/>
      <c r="C73" s="21"/>
      <c r="D73" s="21"/>
      <c r="E73" s="21"/>
    </row>
  </sheetData>
  <sheetProtection/>
  <mergeCells count="77">
    <mergeCell ref="N7:O7"/>
    <mergeCell ref="H9:J9"/>
    <mergeCell ref="H7:I7"/>
    <mergeCell ref="H10:I10"/>
    <mergeCell ref="H21:J21"/>
    <mergeCell ref="B1:C1"/>
    <mergeCell ref="B12:E12"/>
    <mergeCell ref="B10:D10"/>
    <mergeCell ref="B3:C3"/>
    <mergeCell ref="B2:C2"/>
    <mergeCell ref="L41:N41"/>
    <mergeCell ref="N21:O21"/>
    <mergeCell ref="N27:O27"/>
    <mergeCell ref="N32:P32"/>
    <mergeCell ref="H14:I14"/>
    <mergeCell ref="H20:I20"/>
    <mergeCell ref="H15:I15"/>
    <mergeCell ref="H19:I19"/>
    <mergeCell ref="H16:I16"/>
    <mergeCell ref="H17:I17"/>
    <mergeCell ref="B17:C17"/>
    <mergeCell ref="N13:P13"/>
    <mergeCell ref="B18:C18"/>
    <mergeCell ref="N39:O39"/>
    <mergeCell ref="M45:P45"/>
    <mergeCell ref="N23:O23"/>
    <mergeCell ref="N36:P36"/>
    <mergeCell ref="N37:O37"/>
    <mergeCell ref="N38:O38"/>
    <mergeCell ref="O41:P41"/>
    <mergeCell ref="G2:H2"/>
    <mergeCell ref="B14:C14"/>
    <mergeCell ref="B15:C15"/>
    <mergeCell ref="B13:C13"/>
    <mergeCell ref="H11:I11"/>
    <mergeCell ref="G3:H3"/>
    <mergeCell ref="G4:H4"/>
    <mergeCell ref="G5:H5"/>
    <mergeCell ref="B57:C57"/>
    <mergeCell ref="B21:F21"/>
    <mergeCell ref="B44:C44"/>
    <mergeCell ref="B45:C45"/>
    <mergeCell ref="E22:F22"/>
    <mergeCell ref="B47:C47"/>
    <mergeCell ref="B48:C48"/>
    <mergeCell ref="B49:C49"/>
    <mergeCell ref="B42:C42"/>
    <mergeCell ref="H13:I13"/>
    <mergeCell ref="B22:C22"/>
    <mergeCell ref="B54:E54"/>
    <mergeCell ref="B55:C55"/>
    <mergeCell ref="B43:C43"/>
    <mergeCell ref="B46:C46"/>
    <mergeCell ref="B29:C29"/>
    <mergeCell ref="B19:C19"/>
    <mergeCell ref="H18:I18"/>
    <mergeCell ref="B16:C16"/>
    <mergeCell ref="B53:C53"/>
    <mergeCell ref="M55:P55"/>
    <mergeCell ref="H39:K39"/>
    <mergeCell ref="J5:P5"/>
    <mergeCell ref="H31:L31"/>
    <mergeCell ref="N33:O33"/>
    <mergeCell ref="N34:O34"/>
    <mergeCell ref="N35:O35"/>
    <mergeCell ref="N46:O46"/>
    <mergeCell ref="H41:I41"/>
    <mergeCell ref="AC1:AE1"/>
    <mergeCell ref="J2:P2"/>
    <mergeCell ref="J3:P3"/>
    <mergeCell ref="J4:P4"/>
    <mergeCell ref="B59:C59"/>
    <mergeCell ref="B56:C56"/>
    <mergeCell ref="B58:C58"/>
    <mergeCell ref="B50:C50"/>
    <mergeCell ref="B51:C51"/>
    <mergeCell ref="B52:C52"/>
  </mergeCells>
  <printOptions/>
  <pageMargins left="0.59" right="0.1968503937007874" top="0.3937007874015748" bottom="0.3937007874015748" header="0.25" footer="0.3937007874015748"/>
  <pageSetup horizontalDpi="300" verticalDpi="300" orientation="portrait" pageOrder="overThenDown" paperSize="9" scale="99" r:id="rId5"/>
  <headerFooter alignWithMargins="0">
    <oddFooter>&amp;R&amp;P</oddFooter>
  </headerFooter>
  <drawing r:id="rId4"/>
  <legacyDrawing r:id="rId3"/>
  <oleObjects>
    <oleObject progId="AutoCAD.Drawing.16" shapeId="42088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B71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4.00390625" style="0" bestFit="1" customWidth="1"/>
    <col min="2" max="2" width="29.7109375" style="0" bestFit="1" customWidth="1"/>
    <col min="3" max="3" width="4.8515625" style="0" customWidth="1"/>
    <col min="4" max="4" width="5.00390625" style="13" bestFit="1" customWidth="1"/>
    <col min="5" max="5" width="9.140625" style="16" customWidth="1"/>
    <col min="6" max="6" width="6.00390625" style="13" bestFit="1" customWidth="1"/>
    <col min="7" max="7" width="10.140625" style="0" bestFit="1" customWidth="1"/>
    <col min="8" max="8" width="9.28125" style="0" bestFit="1" customWidth="1"/>
    <col min="9" max="9" width="10.00390625" style="0" bestFit="1" customWidth="1"/>
    <col min="10" max="11" width="6.00390625" style="0" customWidth="1"/>
    <col min="12" max="12" width="12.00390625" style="0" customWidth="1"/>
    <col min="13" max="13" width="9.00390625" style="0" customWidth="1"/>
    <col min="14" max="14" width="6.421875" style="0" bestFit="1" customWidth="1"/>
    <col min="15" max="15" width="15.140625" style="0" bestFit="1" customWidth="1"/>
    <col min="16" max="16" width="7.00390625" style="0" customWidth="1"/>
    <col min="17" max="17" width="9.28125" style="0" bestFit="1" customWidth="1"/>
    <col min="19" max="19" width="6.00390625" style="0" bestFit="1" customWidth="1"/>
    <col min="20" max="20" width="13.57421875" style="0" customWidth="1"/>
    <col min="21" max="21" width="4.140625" style="0" customWidth="1"/>
    <col min="22" max="22" width="3.00390625" style="0" bestFit="1" customWidth="1"/>
    <col min="23" max="23" width="11.140625" style="0" bestFit="1" customWidth="1"/>
    <col min="24" max="24" width="7.8515625" style="0" customWidth="1"/>
    <col min="26" max="26" width="11.00390625" style="0" bestFit="1" customWidth="1"/>
    <col min="28" max="28" width="4.421875" style="0" bestFit="1" customWidth="1"/>
    <col min="31" max="32" width="14.28125" style="0" bestFit="1" customWidth="1"/>
    <col min="33" max="34" width="5.00390625" style="0" bestFit="1" customWidth="1"/>
    <col min="35" max="35" width="5.57421875" style="0" bestFit="1" customWidth="1"/>
    <col min="36" max="36" width="7.57421875" style="13" bestFit="1" customWidth="1"/>
    <col min="37" max="37" width="7.7109375" style="13" bestFit="1" customWidth="1"/>
    <col min="38" max="39" width="8.00390625" style="13" bestFit="1" customWidth="1"/>
    <col min="40" max="40" width="7.57421875" style="13" bestFit="1" customWidth="1"/>
    <col min="41" max="41" width="7.140625" style="13" customWidth="1"/>
    <col min="42" max="42" width="6.8515625" style="0" bestFit="1" customWidth="1"/>
    <col min="43" max="43" width="6.421875" style="0" bestFit="1" customWidth="1"/>
    <col min="44" max="44" width="9.7109375" style="0" customWidth="1"/>
    <col min="45" max="45" width="4.7109375" style="0" bestFit="1" customWidth="1"/>
    <col min="46" max="46" width="6.00390625" style="0" bestFit="1" customWidth="1"/>
    <col min="47" max="47" width="8.28125" style="0" bestFit="1" customWidth="1"/>
    <col min="48" max="48" width="9.57421875" style="0" bestFit="1" customWidth="1"/>
    <col min="49" max="49" width="7.8515625" style="0" bestFit="1" customWidth="1"/>
    <col min="50" max="50" width="8.00390625" style="0" bestFit="1" customWidth="1"/>
    <col min="51" max="51" width="7.57421875" style="0" bestFit="1" customWidth="1"/>
    <col min="52" max="52" width="8.00390625" style="0" bestFit="1" customWidth="1"/>
    <col min="53" max="53" width="7.57421875" style="0" bestFit="1" customWidth="1"/>
    <col min="54" max="54" width="7.140625" style="0" bestFit="1" customWidth="1"/>
  </cols>
  <sheetData>
    <row r="1" spans="2:54" ht="12.75">
      <c r="B1" s="78" t="s">
        <v>148</v>
      </c>
      <c r="C1" s="78"/>
      <c r="D1" s="164"/>
      <c r="E1" s="451"/>
      <c r="F1" s="164"/>
      <c r="G1" s="97"/>
      <c r="H1" s="102"/>
      <c r="I1" s="165"/>
      <c r="J1" s="166"/>
      <c r="K1" s="166"/>
      <c r="L1" s="3" t="s">
        <v>219</v>
      </c>
      <c r="M1" s="3"/>
      <c r="N1" s="3"/>
      <c r="Q1" s="3" t="s">
        <v>92</v>
      </c>
      <c r="R1" s="3" t="s">
        <v>252</v>
      </c>
      <c r="S1" s="3" t="s">
        <v>243</v>
      </c>
      <c r="T1" s="3" t="s">
        <v>276</v>
      </c>
      <c r="W1" s="78" t="s">
        <v>118</v>
      </c>
      <c r="X1" s="97"/>
      <c r="Y1" s="97"/>
      <c r="AB1" s="78" t="s">
        <v>92</v>
      </c>
      <c r="AC1" s="3" t="s">
        <v>252</v>
      </c>
      <c r="AD1" s="3" t="s">
        <v>243</v>
      </c>
      <c r="AE1" s="3" t="s">
        <v>276</v>
      </c>
      <c r="AF1" s="360"/>
      <c r="AG1" s="360"/>
      <c r="AH1" s="360"/>
      <c r="AI1" s="360"/>
      <c r="AJ1" s="361"/>
      <c r="AK1" s="361"/>
      <c r="AL1" s="78" t="s">
        <v>92</v>
      </c>
      <c r="AM1" s="3" t="s">
        <v>252</v>
      </c>
      <c r="AN1" s="3" t="s">
        <v>243</v>
      </c>
      <c r="AO1" s="3" t="s">
        <v>276</v>
      </c>
      <c r="AP1" s="360"/>
      <c r="AS1" s="103" t="s">
        <v>316</v>
      </c>
      <c r="AT1" s="103" t="s">
        <v>326</v>
      </c>
      <c r="AU1" s="103" t="s">
        <v>317</v>
      </c>
      <c r="AV1" s="103" t="s">
        <v>318</v>
      </c>
      <c r="AW1" s="103" t="s">
        <v>328</v>
      </c>
      <c r="AX1" s="103" t="s">
        <v>320</v>
      </c>
      <c r="AY1" s="103" t="s">
        <v>321</v>
      </c>
      <c r="AZ1" s="103" t="s">
        <v>330</v>
      </c>
      <c r="BA1" s="103" t="s">
        <v>323</v>
      </c>
      <c r="BB1" s="103" t="s">
        <v>322</v>
      </c>
    </row>
    <row r="2" spans="2:52" ht="12.75">
      <c r="B2" s="100" t="s">
        <v>219</v>
      </c>
      <c r="C2" s="100"/>
      <c r="D2" s="104"/>
      <c r="E2" s="452"/>
      <c r="F2" s="139" t="s">
        <v>92</v>
      </c>
      <c r="G2" s="100" t="s">
        <v>114</v>
      </c>
      <c r="H2" s="357" t="s">
        <v>243</v>
      </c>
      <c r="I2" s="357" t="s">
        <v>334</v>
      </c>
      <c r="J2" s="71"/>
      <c r="K2" s="71"/>
      <c r="P2" t="s">
        <v>359</v>
      </c>
      <c r="T2">
        <f>I64</f>
        <v>754176.9114451959</v>
      </c>
      <c r="AE2">
        <f>T59</f>
        <v>983093.2974451958</v>
      </c>
      <c r="AF2" s="360"/>
      <c r="AG2" s="78" t="s">
        <v>124</v>
      </c>
      <c r="AH2" s="97"/>
      <c r="AJ2"/>
      <c r="AK2" s="97"/>
      <c r="AL2" s="97"/>
      <c r="AM2"/>
      <c r="AN2"/>
      <c r="AO2" s="361"/>
      <c r="AP2" s="360"/>
      <c r="AT2" t="s">
        <v>327</v>
      </c>
      <c r="AW2" t="s">
        <v>329</v>
      </c>
      <c r="AZ2" t="s">
        <v>331</v>
      </c>
    </row>
    <row r="3" spans="1:54" ht="12.75">
      <c r="A3">
        <v>1</v>
      </c>
      <c r="B3" s="3" t="s">
        <v>402</v>
      </c>
      <c r="C3" s="3"/>
      <c r="F3" s="13" t="s">
        <v>401</v>
      </c>
      <c r="G3" t="s">
        <v>401</v>
      </c>
      <c r="I3" s="425">
        <v>2000</v>
      </c>
      <c r="J3" s="71"/>
      <c r="K3" s="71"/>
      <c r="L3" s="3" t="s">
        <v>36</v>
      </c>
      <c r="V3">
        <v>10</v>
      </c>
      <c r="W3" s="3" t="s">
        <v>352</v>
      </c>
      <c r="AF3" s="360"/>
      <c r="AG3" s="540" t="s">
        <v>360</v>
      </c>
      <c r="AH3" s="540"/>
      <c r="AI3" s="540"/>
      <c r="AJ3" s="540"/>
      <c r="AK3" s="540"/>
      <c r="AL3"/>
      <c r="AM3"/>
      <c r="AN3"/>
      <c r="AO3" s="361"/>
      <c r="AP3" s="360"/>
      <c r="AR3" s="346" t="s">
        <v>93</v>
      </c>
      <c r="AS3" s="13"/>
      <c r="AT3" s="13"/>
      <c r="AU3" s="13"/>
      <c r="AV3" s="13">
        <v>1</v>
      </c>
      <c r="AW3" s="13"/>
      <c r="AX3" s="13"/>
      <c r="AY3" s="13"/>
      <c r="AZ3" s="13"/>
      <c r="BA3" s="13"/>
      <c r="BB3" s="13"/>
    </row>
    <row r="4" spans="2:54" ht="12.75">
      <c r="B4" s="100" t="s">
        <v>1</v>
      </c>
      <c r="C4" s="100"/>
      <c r="I4" s="425"/>
      <c r="J4" s="71"/>
      <c r="K4" s="71"/>
      <c r="L4" s="131" t="s">
        <v>125</v>
      </c>
      <c r="M4" s="97"/>
      <c r="N4" s="97"/>
      <c r="Q4" s="97"/>
      <c r="R4" s="97"/>
      <c r="W4" s="542" t="s">
        <v>355</v>
      </c>
      <c r="X4" s="540"/>
      <c r="Y4" s="540"/>
      <c r="Z4" s="540"/>
      <c r="AA4" s="540"/>
      <c r="AB4" s="97" t="s">
        <v>119</v>
      </c>
      <c r="AC4" s="97">
        <v>20</v>
      </c>
      <c r="AF4" s="362"/>
      <c r="AG4" s="540"/>
      <c r="AH4" s="540"/>
      <c r="AI4" s="540"/>
      <c r="AJ4" s="540"/>
      <c r="AK4" s="540"/>
      <c r="AL4"/>
      <c r="AM4"/>
      <c r="AN4"/>
      <c r="AO4" s="363"/>
      <c r="AP4" s="360"/>
      <c r="AR4" t="s">
        <v>325</v>
      </c>
      <c r="AS4" s="13">
        <v>1</v>
      </c>
      <c r="AT4" s="13">
        <v>1</v>
      </c>
      <c r="AU4" s="13">
        <v>1</v>
      </c>
      <c r="AV4" s="13"/>
      <c r="AW4" s="13"/>
      <c r="AX4" s="13"/>
      <c r="AY4" s="13"/>
      <c r="AZ4" s="13"/>
      <c r="BA4" s="13"/>
      <c r="BB4" s="13"/>
    </row>
    <row r="5" spans="1:54" ht="12.75">
      <c r="A5">
        <v>2</v>
      </c>
      <c r="B5" s="100" t="s">
        <v>130</v>
      </c>
      <c r="C5" s="100"/>
      <c r="D5" s="104"/>
      <c r="E5" s="393">
        <v>107</v>
      </c>
      <c r="F5" s="104" t="s">
        <v>20</v>
      </c>
      <c r="G5" s="141">
        <f>Calculation01!I13</f>
        <v>52.10274999999999</v>
      </c>
      <c r="I5" s="426">
        <f>G5*E5</f>
        <v>5574.994249999999</v>
      </c>
      <c r="J5" s="71"/>
      <c r="K5" s="71"/>
      <c r="L5" s="97" t="s">
        <v>161</v>
      </c>
      <c r="M5" s="97"/>
      <c r="N5" s="97"/>
      <c r="Q5" s="97" t="s">
        <v>160</v>
      </c>
      <c r="R5" s="132">
        <f>Calculation01!BC30</f>
        <v>1.3594700000000006</v>
      </c>
      <c r="S5" s="359">
        <v>40000</v>
      </c>
      <c r="T5">
        <f aca="true" t="shared" si="0" ref="T5:T10">R5*S5</f>
        <v>54378.800000000025</v>
      </c>
      <c r="W5" s="540"/>
      <c r="X5" s="540"/>
      <c r="Y5" s="540"/>
      <c r="Z5" s="540"/>
      <c r="AA5" s="540"/>
      <c r="AB5" s="97"/>
      <c r="AC5" s="97"/>
      <c r="AF5" s="364"/>
      <c r="AG5" s="541"/>
      <c r="AH5" s="541"/>
      <c r="AI5" s="541"/>
      <c r="AJ5" s="541"/>
      <c r="AK5" s="541"/>
      <c r="AL5"/>
      <c r="AM5"/>
      <c r="AN5"/>
      <c r="AO5" s="363"/>
      <c r="AP5" s="360"/>
      <c r="AR5" t="s">
        <v>319</v>
      </c>
      <c r="AS5" s="13"/>
      <c r="AT5" s="13"/>
      <c r="AU5" s="13"/>
      <c r="AV5" s="13"/>
      <c r="AW5" s="13"/>
      <c r="AX5" s="13"/>
      <c r="AY5" s="13"/>
      <c r="AZ5" s="13"/>
      <c r="BA5" s="13"/>
      <c r="BB5" s="13">
        <v>1</v>
      </c>
    </row>
    <row r="6" spans="10:54" ht="12.75">
      <c r="J6" s="71"/>
      <c r="K6" s="71"/>
      <c r="L6" s="97" t="s">
        <v>157</v>
      </c>
      <c r="M6" s="97"/>
      <c r="N6" s="97"/>
      <c r="Q6" s="97" t="s">
        <v>113</v>
      </c>
      <c r="R6" s="132">
        <f>Calculation01!BG30</f>
        <v>22.017000000000003</v>
      </c>
      <c r="S6" s="359">
        <v>2000</v>
      </c>
      <c r="T6">
        <f t="shared" si="0"/>
        <v>44034.00000000001</v>
      </c>
      <c r="W6" s="542" t="s">
        <v>356</v>
      </c>
      <c r="X6" s="540"/>
      <c r="Y6" s="540"/>
      <c r="Z6" s="540"/>
      <c r="AA6" s="540"/>
      <c r="AB6" s="97" t="s">
        <v>119</v>
      </c>
      <c r="AC6" s="97">
        <v>45</v>
      </c>
      <c r="AF6" s="365"/>
      <c r="AH6" t="s">
        <v>361</v>
      </c>
      <c r="AJ6"/>
      <c r="AK6"/>
      <c r="AL6" t="s">
        <v>29</v>
      </c>
      <c r="AM6">
        <v>6</v>
      </c>
      <c r="AN6">
        <v>600</v>
      </c>
      <c r="AO6" s="363"/>
      <c r="AP6" s="360"/>
      <c r="AR6" t="s">
        <v>197</v>
      </c>
      <c r="AS6" s="13"/>
      <c r="AT6" s="13"/>
      <c r="AU6" s="13"/>
      <c r="AV6" s="13"/>
      <c r="AW6" s="13">
        <v>3</v>
      </c>
      <c r="AX6" s="13">
        <v>1</v>
      </c>
      <c r="AY6" s="13">
        <v>1</v>
      </c>
      <c r="AZ6" s="13">
        <v>1</v>
      </c>
      <c r="BA6" s="13"/>
      <c r="BB6" s="13"/>
    </row>
    <row r="7" spans="1:54" ht="12.75">
      <c r="A7">
        <v>3</v>
      </c>
      <c r="B7" s="100" t="s">
        <v>90</v>
      </c>
      <c r="C7" s="100"/>
      <c r="D7" s="104"/>
      <c r="E7" s="452"/>
      <c r="J7" s="71"/>
      <c r="K7" s="71"/>
      <c r="L7" s="97" t="s">
        <v>158</v>
      </c>
      <c r="M7" s="97"/>
      <c r="N7" s="97"/>
      <c r="Q7" s="97" t="s">
        <v>113</v>
      </c>
      <c r="R7" s="132">
        <f>Calculation01!BG31</f>
        <v>24.5474</v>
      </c>
      <c r="S7" s="359">
        <v>1600</v>
      </c>
      <c r="T7">
        <f t="shared" si="0"/>
        <v>39275.84</v>
      </c>
      <c r="W7" s="540"/>
      <c r="X7" s="540"/>
      <c r="Y7" s="540"/>
      <c r="Z7" s="540"/>
      <c r="AA7" s="540"/>
      <c r="AB7" s="97"/>
      <c r="AC7" s="97"/>
      <c r="AF7" s="365"/>
      <c r="AH7" t="s">
        <v>362</v>
      </c>
      <c r="AJ7"/>
      <c r="AK7"/>
      <c r="AL7" t="s">
        <v>29</v>
      </c>
      <c r="AM7">
        <v>24</v>
      </c>
      <c r="AN7">
        <v>500</v>
      </c>
      <c r="AO7" s="363"/>
      <c r="AP7" s="360"/>
      <c r="AR7" s="103" t="s">
        <v>96</v>
      </c>
      <c r="AS7" s="13"/>
      <c r="AT7" s="13"/>
      <c r="AU7" s="13"/>
      <c r="AV7" s="13"/>
      <c r="AW7" s="13"/>
      <c r="AX7" s="13"/>
      <c r="AY7" s="13"/>
      <c r="AZ7" s="13"/>
      <c r="BA7" s="13"/>
      <c r="BB7" s="13">
        <v>1</v>
      </c>
    </row>
    <row r="8" spans="2:54" ht="12.75">
      <c r="B8" s="460" t="s">
        <v>380</v>
      </c>
      <c r="C8" s="10">
        <f>Calculation01!AB82</f>
        <v>6.761091024000001</v>
      </c>
      <c r="D8" s="13">
        <f>Data!AD7</f>
        <v>1500</v>
      </c>
      <c r="J8" s="71"/>
      <c r="K8" s="71"/>
      <c r="L8" s="97" t="s">
        <v>159</v>
      </c>
      <c r="M8" s="97"/>
      <c r="N8" s="97"/>
      <c r="Q8" s="97" t="s">
        <v>113</v>
      </c>
      <c r="R8" s="132">
        <f>Calculation01!BG32</f>
        <v>1.4976</v>
      </c>
      <c r="S8" s="359">
        <v>1600</v>
      </c>
      <c r="T8">
        <f t="shared" si="0"/>
        <v>2396.16</v>
      </c>
      <c r="AF8" s="365"/>
      <c r="AJ8"/>
      <c r="AK8"/>
      <c r="AL8"/>
      <c r="AM8"/>
      <c r="AN8"/>
      <c r="AO8" s="363"/>
      <c r="AP8" s="360"/>
      <c r="AR8" t="s">
        <v>197</v>
      </c>
      <c r="AS8" s="13"/>
      <c r="AT8" s="13"/>
      <c r="AU8" s="13"/>
      <c r="AV8" s="13"/>
      <c r="AW8" s="13">
        <v>3</v>
      </c>
      <c r="AX8" s="13">
        <v>1</v>
      </c>
      <c r="AY8" s="13">
        <v>1</v>
      </c>
      <c r="AZ8" s="13"/>
      <c r="BA8" s="13"/>
      <c r="BB8" s="13"/>
    </row>
    <row r="9" spans="2:54" ht="12.75">
      <c r="B9" s="460" t="s">
        <v>142</v>
      </c>
      <c r="C9" s="10">
        <f>Calculation01!AA82</f>
        <v>3.3805455120000003</v>
      </c>
      <c r="D9" s="13">
        <f>Data!AD9</f>
        <v>1500</v>
      </c>
      <c r="J9" s="71"/>
      <c r="K9" s="71"/>
      <c r="L9" s="97" t="s">
        <v>237</v>
      </c>
      <c r="M9" s="102"/>
      <c r="N9" s="102"/>
      <c r="Q9" s="97" t="s">
        <v>238</v>
      </c>
      <c r="R9" s="133">
        <f>Calculation01!BF42</f>
        <v>311.32200000000006</v>
      </c>
      <c r="S9" s="359">
        <v>35</v>
      </c>
      <c r="T9">
        <f t="shared" si="0"/>
        <v>10896.270000000002</v>
      </c>
      <c r="AF9" s="364"/>
      <c r="AG9" s="540" t="s">
        <v>363</v>
      </c>
      <c r="AH9" s="540"/>
      <c r="AI9" s="540"/>
      <c r="AJ9" s="540"/>
      <c r="AK9" s="540"/>
      <c r="AL9"/>
      <c r="AM9"/>
      <c r="AN9"/>
      <c r="AO9" s="363"/>
      <c r="AP9" s="360"/>
      <c r="AR9" s="103" t="s">
        <v>103</v>
      </c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2:54" ht="12.75">
      <c r="B10" s="460" t="s">
        <v>141</v>
      </c>
      <c r="C10" s="10">
        <f>Calculation01!Z82</f>
        <v>25.455915000000005</v>
      </c>
      <c r="D10" s="13">
        <f>Data!AD4</f>
        <v>250</v>
      </c>
      <c r="J10" s="71"/>
      <c r="K10" s="71"/>
      <c r="L10" s="97" t="s">
        <v>272</v>
      </c>
      <c r="M10" s="102"/>
      <c r="N10" s="102"/>
      <c r="Q10" s="97" t="s">
        <v>238</v>
      </c>
      <c r="R10" s="133">
        <f>Calculation01!AY51</f>
        <v>227.088</v>
      </c>
      <c r="S10" s="359">
        <v>35</v>
      </c>
      <c r="T10">
        <f t="shared" si="0"/>
        <v>7948.08</v>
      </c>
      <c r="AF10" s="364"/>
      <c r="AG10" s="540"/>
      <c r="AH10" s="540"/>
      <c r="AI10" s="540"/>
      <c r="AJ10" s="540"/>
      <c r="AK10" s="540"/>
      <c r="AL10"/>
      <c r="AM10"/>
      <c r="AN10"/>
      <c r="AO10" s="363"/>
      <c r="AP10" s="360"/>
      <c r="AR10" t="s">
        <v>198</v>
      </c>
      <c r="AS10" s="13"/>
      <c r="AT10" s="13"/>
      <c r="AU10" s="13"/>
      <c r="AV10" s="13">
        <v>1</v>
      </c>
      <c r="AW10" s="13">
        <v>1</v>
      </c>
      <c r="AX10" s="13">
        <v>1</v>
      </c>
      <c r="AY10" s="13">
        <v>1</v>
      </c>
      <c r="AZ10" s="13"/>
      <c r="BA10" s="13">
        <v>1</v>
      </c>
      <c r="BB10" s="13">
        <v>1</v>
      </c>
    </row>
    <row r="11" spans="2:54" ht="12.75">
      <c r="B11" s="460" t="s">
        <v>432</v>
      </c>
      <c r="C11" s="457">
        <v>320</v>
      </c>
      <c r="D11" s="13">
        <f>SUM(D8:D10)</f>
        <v>3250</v>
      </c>
      <c r="E11" s="16">
        <f>C11+D11</f>
        <v>3570</v>
      </c>
      <c r="F11" s="104" t="s">
        <v>20</v>
      </c>
      <c r="G11" s="142">
        <f>Calculation01!R83</f>
        <v>7.443250000000001</v>
      </c>
      <c r="H11" s="393"/>
      <c r="I11" s="458">
        <f>E11*G11</f>
        <v>26572.402500000004</v>
      </c>
      <c r="J11" s="71"/>
      <c r="K11" s="71"/>
      <c r="S11" s="340"/>
      <c r="AF11" s="97"/>
      <c r="AG11" s="541"/>
      <c r="AH11" s="541"/>
      <c r="AI11" s="541"/>
      <c r="AJ11" s="541"/>
      <c r="AK11" s="541"/>
      <c r="AL11" t="s">
        <v>29</v>
      </c>
      <c r="AM11">
        <v>4</v>
      </c>
      <c r="AN11">
        <v>850</v>
      </c>
      <c r="AO11" s="363"/>
      <c r="AP11" s="360"/>
      <c r="AR11" s="103" t="s">
        <v>324</v>
      </c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ht="12.75">
      <c r="A12">
        <v>4</v>
      </c>
      <c r="B12" s="100" t="s">
        <v>296</v>
      </c>
      <c r="C12" s="100"/>
      <c r="J12" s="71"/>
      <c r="K12" s="71"/>
      <c r="L12" s="78" t="s">
        <v>337</v>
      </c>
      <c r="S12" s="340"/>
      <c r="V12" s="68"/>
      <c r="AF12" s="97"/>
      <c r="AJ12"/>
      <c r="AK12"/>
      <c r="AL12"/>
      <c r="AM12"/>
      <c r="AN12"/>
      <c r="AO12" s="363"/>
      <c r="AP12" s="360"/>
      <c r="AR12" t="s">
        <v>198</v>
      </c>
      <c r="AS12" s="13"/>
      <c r="AT12" s="13"/>
      <c r="AU12" s="13"/>
      <c r="AV12" s="13">
        <v>1</v>
      </c>
      <c r="AW12" s="13">
        <v>1</v>
      </c>
      <c r="AX12" s="13">
        <v>1</v>
      </c>
      <c r="AY12" s="13">
        <v>1</v>
      </c>
      <c r="AZ12" s="13">
        <v>1</v>
      </c>
      <c r="BA12" s="13">
        <v>1</v>
      </c>
      <c r="BB12" s="13">
        <v>1</v>
      </c>
    </row>
    <row r="13" spans="2:54" ht="12.75">
      <c r="B13" s="459" t="s">
        <v>215</v>
      </c>
      <c r="C13">
        <f>Calculation01!Y87</f>
        <v>31.111500000000007</v>
      </c>
      <c r="D13" s="13">
        <f>Data!AD6</f>
        <v>1000</v>
      </c>
      <c r="J13" s="71"/>
      <c r="K13" s="71"/>
      <c r="S13" s="340"/>
      <c r="V13" s="68"/>
      <c r="W13" t="s">
        <v>425</v>
      </c>
      <c r="AD13">
        <v>4000</v>
      </c>
      <c r="AF13" s="97"/>
      <c r="AG13" s="540" t="s">
        <v>371</v>
      </c>
      <c r="AH13" s="540"/>
      <c r="AI13" s="540"/>
      <c r="AJ13" s="540"/>
      <c r="AK13" s="540"/>
      <c r="AL13"/>
      <c r="AM13"/>
      <c r="AN13"/>
      <c r="AO13" s="363"/>
      <c r="AP13" s="360"/>
      <c r="AS13" s="347">
        <f aca="true" t="shared" si="1" ref="AS13:BB13">SUM(AS3:AS12)</f>
        <v>1</v>
      </c>
      <c r="AT13" s="347">
        <f t="shared" si="1"/>
        <v>1</v>
      </c>
      <c r="AU13" s="347">
        <f t="shared" si="1"/>
        <v>1</v>
      </c>
      <c r="AV13" s="347">
        <f t="shared" si="1"/>
        <v>3</v>
      </c>
      <c r="AW13" s="347">
        <f t="shared" si="1"/>
        <v>8</v>
      </c>
      <c r="AX13" s="347">
        <f t="shared" si="1"/>
        <v>4</v>
      </c>
      <c r="AY13" s="347">
        <f t="shared" si="1"/>
        <v>4</v>
      </c>
      <c r="AZ13" s="347">
        <f t="shared" si="1"/>
        <v>2</v>
      </c>
      <c r="BA13" s="347">
        <f t="shared" si="1"/>
        <v>2</v>
      </c>
      <c r="BB13" s="347">
        <f t="shared" si="1"/>
        <v>4</v>
      </c>
    </row>
    <row r="14" spans="2:42" ht="12.75">
      <c r="B14" s="459" t="s">
        <v>432</v>
      </c>
      <c r="C14" s="457">
        <v>300</v>
      </c>
      <c r="D14" s="13">
        <f>D13</f>
        <v>1000</v>
      </c>
      <c r="E14" s="16">
        <f>C14+D14</f>
        <v>1300</v>
      </c>
      <c r="F14" s="104" t="s">
        <v>20</v>
      </c>
      <c r="G14" s="141">
        <f>Calculation01!Y87</f>
        <v>31.111500000000007</v>
      </c>
      <c r="H14" s="393" t="s">
        <v>433</v>
      </c>
      <c r="I14" s="458">
        <f>E14*G14</f>
        <v>40444.95000000001</v>
      </c>
      <c r="J14" s="68"/>
      <c r="K14" s="68"/>
      <c r="L14" t="s">
        <v>339</v>
      </c>
      <c r="Q14" t="s">
        <v>113</v>
      </c>
      <c r="R14">
        <f>Calculation01!P45</f>
        <v>249.90230000000003</v>
      </c>
      <c r="S14" s="359">
        <v>70</v>
      </c>
      <c r="T14">
        <f>R14*S14</f>
        <v>17493.161</v>
      </c>
      <c r="V14" s="68"/>
      <c r="AF14" s="97"/>
      <c r="AG14" s="540"/>
      <c r="AH14" s="540"/>
      <c r="AI14" s="540"/>
      <c r="AJ14" s="540"/>
      <c r="AK14" s="540"/>
      <c r="AL14"/>
      <c r="AM14"/>
      <c r="AN14"/>
      <c r="AO14" s="363"/>
      <c r="AP14" s="360"/>
    </row>
    <row r="15" spans="2:42" ht="12.75">
      <c r="B15" s="100" t="s">
        <v>210</v>
      </c>
      <c r="C15" s="100"/>
      <c r="J15" s="68"/>
      <c r="K15" s="68"/>
      <c r="L15" t="s">
        <v>338</v>
      </c>
      <c r="Q15" t="s">
        <v>113</v>
      </c>
      <c r="R15">
        <f>Calculation01!P46</f>
        <v>136.58100000000002</v>
      </c>
      <c r="S15" s="359">
        <v>75</v>
      </c>
      <c r="T15">
        <f>R15*S15</f>
        <v>10243.575</v>
      </c>
      <c r="V15" s="68"/>
      <c r="W15" t="s">
        <v>427</v>
      </c>
      <c r="AD15">
        <v>4200</v>
      </c>
      <c r="AF15" s="97"/>
      <c r="AG15" s="541"/>
      <c r="AH15" s="541"/>
      <c r="AI15" s="541"/>
      <c r="AJ15" s="541"/>
      <c r="AK15" s="541"/>
      <c r="AL15" t="s">
        <v>29</v>
      </c>
      <c r="AM15">
        <v>2</v>
      </c>
      <c r="AN15">
        <v>3000</v>
      </c>
      <c r="AO15" s="363"/>
      <c r="AP15" s="360"/>
    </row>
    <row r="16" spans="1:42" ht="12.75">
      <c r="A16">
        <v>5</v>
      </c>
      <c r="B16" s="100" t="s">
        <v>270</v>
      </c>
      <c r="C16" s="100"/>
      <c r="D16" s="137"/>
      <c r="E16" s="138"/>
      <c r="F16" s="104" t="s">
        <v>20</v>
      </c>
      <c r="G16" s="143">
        <f>Calculation01!Y88</f>
        <v>12.812624999999999</v>
      </c>
      <c r="H16" s="394">
        <v>1900</v>
      </c>
      <c r="I16" s="426">
        <f>G16*H16</f>
        <v>24343.9875</v>
      </c>
      <c r="J16" s="68"/>
      <c r="K16" s="68"/>
      <c r="L16" t="s">
        <v>340</v>
      </c>
      <c r="Q16" t="s">
        <v>113</v>
      </c>
      <c r="R16">
        <f>Calculation01!Q45</f>
        <v>484.27000000000004</v>
      </c>
      <c r="S16" s="359">
        <v>60</v>
      </c>
      <c r="T16">
        <f>R16*S16</f>
        <v>29056.2</v>
      </c>
      <c r="V16" s="68"/>
      <c r="AF16" s="97"/>
      <c r="AJ16"/>
      <c r="AK16"/>
      <c r="AL16"/>
      <c r="AM16"/>
      <c r="AN16"/>
      <c r="AO16" s="363"/>
      <c r="AP16" s="360"/>
    </row>
    <row r="17" spans="2:42" ht="12.75">
      <c r="B17" s="100" t="s">
        <v>269</v>
      </c>
      <c r="C17" s="100"/>
      <c r="D17" s="161" t="s">
        <v>20</v>
      </c>
      <c r="E17" s="162">
        <f>Calculation01!R82</f>
        <v>43.924125000000004</v>
      </c>
      <c r="F17" s="104"/>
      <c r="G17" s="138"/>
      <c r="H17" s="140"/>
      <c r="I17" s="427"/>
      <c r="J17" s="68"/>
      <c r="K17" s="68"/>
      <c r="L17" t="s">
        <v>341</v>
      </c>
      <c r="Q17" t="s">
        <v>113</v>
      </c>
      <c r="R17">
        <f>Calculation01!Q46</f>
        <v>219.90500000000003</v>
      </c>
      <c r="S17" s="359">
        <v>60</v>
      </c>
      <c r="T17">
        <f>R17*S17</f>
        <v>13194.300000000001</v>
      </c>
      <c r="V17" s="68"/>
      <c r="W17" t="s">
        <v>426</v>
      </c>
      <c r="AD17">
        <v>800</v>
      </c>
      <c r="AF17" s="97"/>
      <c r="AG17" s="540" t="s">
        <v>365</v>
      </c>
      <c r="AH17" s="540"/>
      <c r="AI17" s="540"/>
      <c r="AJ17" s="540"/>
      <c r="AK17" s="540"/>
      <c r="AL17"/>
      <c r="AM17"/>
      <c r="AN17"/>
      <c r="AO17" s="363"/>
      <c r="AP17" s="360"/>
    </row>
    <row r="18" spans="2:42" ht="12.75">
      <c r="B18" s="139" t="s">
        <v>420</v>
      </c>
      <c r="C18" s="139"/>
      <c r="J18" s="71"/>
      <c r="K18" s="71"/>
      <c r="V18" s="68"/>
      <c r="AF18" s="97"/>
      <c r="AG18" s="540"/>
      <c r="AH18" s="540"/>
      <c r="AI18" s="540"/>
      <c r="AJ18" s="540"/>
      <c r="AK18" s="540"/>
      <c r="AL18" t="s">
        <v>29</v>
      </c>
      <c r="AM18"/>
      <c r="AN18"/>
      <c r="AO18" s="363"/>
      <c r="AP18" s="360"/>
    </row>
    <row r="19" spans="2:52" ht="12.75">
      <c r="B19" s="100" t="s">
        <v>421</v>
      </c>
      <c r="C19" s="100"/>
      <c r="D19" s="450" t="s">
        <v>422</v>
      </c>
      <c r="E19" s="453">
        <f>Calculation01!Y91</f>
        <v>0</v>
      </c>
      <c r="F19" s="137" t="s">
        <v>20</v>
      </c>
      <c r="G19" s="143">
        <f>E19</f>
        <v>0</v>
      </c>
      <c r="H19" s="393">
        <v>2000</v>
      </c>
      <c r="I19" s="426">
        <f>G19*H19</f>
        <v>0</v>
      </c>
      <c r="J19" s="71"/>
      <c r="K19" s="71"/>
      <c r="L19" s="3" t="s">
        <v>342</v>
      </c>
      <c r="V19" s="68"/>
      <c r="AF19" s="97"/>
      <c r="AJ19"/>
      <c r="AK19"/>
      <c r="AL19"/>
      <c r="AM19"/>
      <c r="AN19"/>
      <c r="AO19" s="363"/>
      <c r="AP19" s="360"/>
      <c r="AZ19" s="349"/>
    </row>
    <row r="20" spans="10:42" ht="12.75">
      <c r="J20" s="71"/>
      <c r="K20" s="71"/>
      <c r="O20" t="s">
        <v>347</v>
      </c>
      <c r="V20" s="68"/>
      <c r="AF20" s="97"/>
      <c r="AG20" s="540" t="s">
        <v>364</v>
      </c>
      <c r="AH20" s="540"/>
      <c r="AI20" s="540"/>
      <c r="AJ20" s="540"/>
      <c r="AK20" s="540"/>
      <c r="AL20"/>
      <c r="AM20"/>
      <c r="AN20"/>
      <c r="AO20" s="363"/>
      <c r="AP20" s="360"/>
    </row>
    <row r="21" spans="2:42" ht="12.75">
      <c r="B21" s="100" t="s">
        <v>403</v>
      </c>
      <c r="C21" s="100"/>
      <c r="F21" s="137" t="s">
        <v>20</v>
      </c>
      <c r="G21" s="439">
        <f>Calculation01!J54</f>
        <v>36.561600000000006</v>
      </c>
      <c r="H21" s="359">
        <v>350</v>
      </c>
      <c r="I21">
        <f>G21*H21</f>
        <v>12796.560000000001</v>
      </c>
      <c r="J21" s="71"/>
      <c r="K21" s="71"/>
      <c r="L21" t="s">
        <v>343</v>
      </c>
      <c r="P21" s="13">
        <v>1</v>
      </c>
      <c r="Q21" t="s">
        <v>113</v>
      </c>
      <c r="V21" s="68"/>
      <c r="AF21" s="97"/>
      <c r="AG21" s="540"/>
      <c r="AH21" s="540"/>
      <c r="AI21" s="540"/>
      <c r="AJ21" s="540"/>
      <c r="AK21" s="540"/>
      <c r="AL21" t="s">
        <v>29</v>
      </c>
      <c r="AM21"/>
      <c r="AN21"/>
      <c r="AO21" s="363"/>
      <c r="AP21" s="360"/>
    </row>
    <row r="22" spans="10:53" ht="12.75">
      <c r="J22" s="71"/>
      <c r="K22" s="71"/>
      <c r="L22" t="s">
        <v>344</v>
      </c>
      <c r="P22" s="13">
        <v>1</v>
      </c>
      <c r="Q22" t="s">
        <v>113</v>
      </c>
      <c r="V22" s="68"/>
      <c r="AF22" s="97"/>
      <c r="AJ22"/>
      <c r="AK22"/>
      <c r="AL22"/>
      <c r="AM22"/>
      <c r="AN22"/>
      <c r="AO22" s="363"/>
      <c r="AP22" s="360"/>
      <c r="AR22" s="348"/>
      <c r="AS22" s="348"/>
      <c r="AT22" s="348"/>
      <c r="AU22" s="348"/>
      <c r="AV22" s="348"/>
      <c r="AW22" s="348"/>
      <c r="AX22" s="348"/>
      <c r="AY22" s="13"/>
      <c r="AZ22" s="348"/>
      <c r="BA22" s="348"/>
    </row>
    <row r="23" spans="2:54" ht="12.75">
      <c r="B23" s="100" t="s">
        <v>85</v>
      </c>
      <c r="C23" s="100"/>
      <c r="F23" s="137"/>
      <c r="H23" s="68"/>
      <c r="I23" s="426"/>
      <c r="J23" s="71"/>
      <c r="K23" s="71"/>
      <c r="L23" t="s">
        <v>345</v>
      </c>
      <c r="P23" s="13">
        <v>1</v>
      </c>
      <c r="Q23" t="s">
        <v>113</v>
      </c>
      <c r="V23" s="68"/>
      <c r="AF23" s="97"/>
      <c r="AG23" s="540" t="s">
        <v>366</v>
      </c>
      <c r="AH23" s="540"/>
      <c r="AI23" s="540"/>
      <c r="AJ23" s="540"/>
      <c r="AK23" s="540"/>
      <c r="AL23"/>
      <c r="AM23"/>
      <c r="AN23"/>
      <c r="AO23" s="363"/>
      <c r="AP23" s="360"/>
      <c r="AR23" s="348"/>
      <c r="AS23" s="348"/>
      <c r="AT23" s="348"/>
      <c r="AU23" s="348"/>
      <c r="AV23" s="348"/>
      <c r="AW23" s="348"/>
      <c r="AX23" s="348"/>
      <c r="AY23" s="13"/>
      <c r="AZ23" s="348"/>
      <c r="BA23" s="348"/>
      <c r="BB23" s="13"/>
    </row>
    <row r="24" spans="1:54" ht="12.75">
      <c r="A24">
        <v>6</v>
      </c>
      <c r="B24" s="101" t="s">
        <v>267</v>
      </c>
      <c r="C24" s="101"/>
      <c r="D24" s="137"/>
      <c r="E24" s="138"/>
      <c r="F24" s="137" t="s">
        <v>20</v>
      </c>
      <c r="G24" s="143">
        <f>Calculation01!R85</f>
        <v>44.096482095183084</v>
      </c>
      <c r="H24" s="392">
        <v>2400</v>
      </c>
      <c r="I24" s="426">
        <f>G24*H24</f>
        <v>105831.5570284394</v>
      </c>
      <c r="J24" s="71"/>
      <c r="K24" s="71"/>
      <c r="L24" t="s">
        <v>346</v>
      </c>
      <c r="P24" s="13">
        <v>1</v>
      </c>
      <c r="Q24" t="s">
        <v>113</v>
      </c>
      <c r="V24" s="68"/>
      <c r="AF24" s="97"/>
      <c r="AG24" s="540"/>
      <c r="AH24" s="540"/>
      <c r="AI24" s="540"/>
      <c r="AJ24" s="540"/>
      <c r="AK24" s="540"/>
      <c r="AL24" t="s">
        <v>29</v>
      </c>
      <c r="AM24"/>
      <c r="AN24">
        <v>650</v>
      </c>
      <c r="AO24" s="363"/>
      <c r="AP24" s="360"/>
      <c r="AR24" s="348"/>
      <c r="AS24" s="348"/>
      <c r="AT24" s="348"/>
      <c r="AU24" s="348"/>
      <c r="AV24" s="348"/>
      <c r="AW24" s="348"/>
      <c r="AX24" s="350"/>
      <c r="AY24" s="352"/>
      <c r="AZ24" s="350"/>
      <c r="BA24" s="352"/>
      <c r="BB24" s="13"/>
    </row>
    <row r="25" spans="2:54" ht="12.75">
      <c r="B25" s="101" t="s">
        <v>268</v>
      </c>
      <c r="C25" s="101"/>
      <c r="D25" s="137"/>
      <c r="E25" s="138"/>
      <c r="F25" s="104" t="s">
        <v>20</v>
      </c>
      <c r="G25" s="37">
        <f>Calculation01!R86</f>
        <v>34.252132</v>
      </c>
      <c r="H25" s="392">
        <v>2500</v>
      </c>
      <c r="I25" s="426">
        <f>G25*H25</f>
        <v>85630.33</v>
      </c>
      <c r="J25" s="71"/>
      <c r="K25" s="71"/>
      <c r="L25" t="s">
        <v>159</v>
      </c>
      <c r="P25" s="13">
        <v>1</v>
      </c>
      <c r="Q25" t="s">
        <v>113</v>
      </c>
      <c r="V25" s="68"/>
      <c r="AF25" s="360"/>
      <c r="AJ25"/>
      <c r="AK25"/>
      <c r="AL25"/>
      <c r="AM25"/>
      <c r="AN25"/>
      <c r="AO25" s="363"/>
      <c r="AP25" s="360"/>
      <c r="AR25" s="348"/>
      <c r="AS25" s="348"/>
      <c r="AT25" s="348"/>
      <c r="AU25" s="348"/>
      <c r="AV25" s="348"/>
      <c r="AW25" s="348"/>
      <c r="AX25" s="350"/>
      <c r="AY25" s="352"/>
      <c r="AZ25" s="350"/>
      <c r="BA25" s="352"/>
      <c r="BB25" s="13"/>
    </row>
    <row r="26" spans="2:53" ht="12.75">
      <c r="B26" s="163" t="s">
        <v>47</v>
      </c>
      <c r="C26" s="163"/>
      <c r="D26" s="161" t="s">
        <v>20</v>
      </c>
      <c r="E26" s="162">
        <f>Calculation01!R84</f>
        <v>78.3486140951831</v>
      </c>
      <c r="F26" s="104"/>
      <c r="H26" s="68"/>
      <c r="I26" s="426"/>
      <c r="J26" s="68"/>
      <c r="K26" s="68"/>
      <c r="V26" s="68"/>
      <c r="AG26" s="540" t="s">
        <v>367</v>
      </c>
      <c r="AH26" s="540"/>
      <c r="AI26" s="540"/>
      <c r="AJ26" s="540"/>
      <c r="AK26" s="540"/>
      <c r="AL26"/>
      <c r="AM26"/>
      <c r="AN26">
        <v>750</v>
      </c>
      <c r="AO26" s="363"/>
      <c r="AP26" s="360"/>
      <c r="AR26" s="348"/>
      <c r="AS26" s="348"/>
      <c r="AT26" s="348"/>
      <c r="AU26" s="348"/>
      <c r="AV26" s="348"/>
      <c r="AW26" s="348"/>
      <c r="AX26" s="350"/>
      <c r="AY26" s="352"/>
      <c r="AZ26" s="350"/>
      <c r="BA26" s="352"/>
    </row>
    <row r="27" spans="10:53" ht="12.75">
      <c r="J27" s="68"/>
      <c r="K27" s="68"/>
      <c r="V27" s="68"/>
      <c r="AG27" s="540"/>
      <c r="AH27" s="540"/>
      <c r="AI27" s="540"/>
      <c r="AJ27" s="540"/>
      <c r="AK27" s="540"/>
      <c r="AL27" t="s">
        <v>29</v>
      </c>
      <c r="AM27"/>
      <c r="AN27"/>
      <c r="AO27" s="367"/>
      <c r="AP27" s="360"/>
      <c r="AR27" s="13"/>
      <c r="AS27" s="348"/>
      <c r="AT27" s="348"/>
      <c r="AU27" s="348"/>
      <c r="AV27" s="348"/>
      <c r="AW27" s="348"/>
      <c r="AX27" s="350"/>
      <c r="AY27" s="352"/>
      <c r="AZ27" s="350"/>
      <c r="BA27" s="352"/>
    </row>
    <row r="28" spans="1:53" ht="12.75">
      <c r="A28">
        <v>7</v>
      </c>
      <c r="B28" s="100" t="s">
        <v>220</v>
      </c>
      <c r="C28" s="100"/>
      <c r="D28" s="104"/>
      <c r="E28" s="452"/>
      <c r="F28" s="104" t="s">
        <v>113</v>
      </c>
      <c r="G28" s="141">
        <f>Calculation01!AS13</f>
        <v>40.86</v>
      </c>
      <c r="H28" s="393">
        <v>1</v>
      </c>
      <c r="I28" s="426">
        <f>G28*H28</f>
        <v>40.86</v>
      </c>
      <c r="J28" s="68"/>
      <c r="K28" s="68"/>
      <c r="L28" s="9" t="str">
        <f aca="true" t="shared" si="2" ref="L28:N30">B8</f>
        <v>Metal 40 mm</v>
      </c>
      <c r="M28" s="9">
        <f t="shared" si="2"/>
        <v>6.761091024000001</v>
      </c>
      <c r="N28" s="9">
        <f t="shared" si="2"/>
        <v>1500</v>
      </c>
      <c r="O28" s="9">
        <f>M28*N28</f>
        <v>10141.636536000002</v>
      </c>
      <c r="V28" s="68"/>
      <c r="AJ28"/>
      <c r="AK28"/>
      <c r="AL28"/>
      <c r="AM28"/>
      <c r="AN28"/>
      <c r="AO28" s="367"/>
      <c r="AP28" s="360"/>
      <c r="AW28" s="13"/>
      <c r="AX28" s="351"/>
      <c r="AY28" s="353"/>
      <c r="AZ28" s="351"/>
      <c r="BA28" s="353"/>
    </row>
    <row r="29" spans="8:42" ht="12.75">
      <c r="H29" s="140"/>
      <c r="I29" s="426"/>
      <c r="J29" s="68"/>
      <c r="K29" s="68"/>
      <c r="L29" s="9" t="str">
        <f t="shared" si="2"/>
        <v>Sand</v>
      </c>
      <c r="M29" s="9">
        <f t="shared" si="2"/>
        <v>3.3805455120000003</v>
      </c>
      <c r="N29" s="9">
        <f t="shared" si="2"/>
        <v>1500</v>
      </c>
      <c r="O29" s="9">
        <f>M29*N29</f>
        <v>5070.818268000001</v>
      </c>
      <c r="V29" s="68"/>
      <c r="W29" s="78" t="s">
        <v>353</v>
      </c>
      <c r="X29" s="97"/>
      <c r="AB29" s="97"/>
      <c r="AC29" s="97"/>
      <c r="AF29" s="366"/>
      <c r="AG29" s="540" t="s">
        <v>368</v>
      </c>
      <c r="AH29" s="540"/>
      <c r="AI29" s="540"/>
      <c r="AJ29" s="540"/>
      <c r="AK29" s="540"/>
      <c r="AL29"/>
      <c r="AM29"/>
      <c r="AN29"/>
      <c r="AO29" s="367"/>
      <c r="AP29" s="360"/>
    </row>
    <row r="30" spans="2:42" ht="12.75">
      <c r="B30" s="100" t="s">
        <v>91</v>
      </c>
      <c r="C30" s="100"/>
      <c r="H30" s="140"/>
      <c r="I30" s="426"/>
      <c r="J30" s="68"/>
      <c r="K30" s="68"/>
      <c r="L30" s="9" t="str">
        <f t="shared" si="2"/>
        <v>Cement</v>
      </c>
      <c r="M30" s="9">
        <f t="shared" si="2"/>
        <v>25.455915000000005</v>
      </c>
      <c r="N30" s="9">
        <f t="shared" si="2"/>
        <v>250</v>
      </c>
      <c r="O30" s="9">
        <f>M30*N30</f>
        <v>6363.978750000001</v>
      </c>
      <c r="V30" s="68"/>
      <c r="W30" s="542" t="s">
        <v>354</v>
      </c>
      <c r="X30" s="540"/>
      <c r="Y30" s="540"/>
      <c r="Z30" s="540"/>
      <c r="AA30" s="540"/>
      <c r="AB30" t="s">
        <v>119</v>
      </c>
      <c r="AC30">
        <v>45</v>
      </c>
      <c r="AG30" s="540"/>
      <c r="AH30" s="540"/>
      <c r="AI30" s="540"/>
      <c r="AJ30" s="540"/>
      <c r="AK30" s="540"/>
      <c r="AL30" t="s">
        <v>29</v>
      </c>
      <c r="AM30"/>
      <c r="AN30">
        <v>2000</v>
      </c>
      <c r="AO30" s="367"/>
      <c r="AP30" s="360"/>
    </row>
    <row r="31" spans="1:42" ht="12.75">
      <c r="A31">
        <v>8</v>
      </c>
      <c r="B31" s="101" t="s">
        <v>267</v>
      </c>
      <c r="C31" s="101"/>
      <c r="D31" s="137"/>
      <c r="E31" s="138"/>
      <c r="F31" s="137"/>
      <c r="G31" s="143">
        <f>Calculation01!R91</f>
        <v>22.337567319220206</v>
      </c>
      <c r="H31" s="392">
        <v>4300</v>
      </c>
      <c r="I31" s="426">
        <f>G31*H31</f>
        <v>96051.53947264688</v>
      </c>
      <c r="J31" s="71"/>
      <c r="K31" s="71"/>
      <c r="L31" s="9"/>
      <c r="M31" s="9"/>
      <c r="N31" s="9"/>
      <c r="O31" s="9">
        <f>SUM(O28:O30)</f>
        <v>21576.433554000003</v>
      </c>
      <c r="V31" s="68"/>
      <c r="W31" s="540"/>
      <c r="X31" s="540"/>
      <c r="Y31" s="540"/>
      <c r="Z31" s="540"/>
      <c r="AA31" s="540"/>
      <c r="AJ31"/>
      <c r="AK31"/>
      <c r="AL31"/>
      <c r="AM31"/>
      <c r="AN31"/>
      <c r="AO31" s="363"/>
      <c r="AP31" s="369"/>
    </row>
    <row r="32" spans="1:42" ht="12.75">
      <c r="A32">
        <v>9</v>
      </c>
      <c r="B32" s="101" t="s">
        <v>268</v>
      </c>
      <c r="C32" s="101"/>
      <c r="G32" s="37">
        <f>Calculation01!R92</f>
        <v>10.5313</v>
      </c>
      <c r="H32" s="392">
        <v>4500</v>
      </c>
      <c r="I32" s="426">
        <f>G32*H32</f>
        <v>47390.85</v>
      </c>
      <c r="J32" s="71"/>
      <c r="K32" s="71"/>
      <c r="L32" s="9"/>
      <c r="M32" s="461"/>
      <c r="N32" s="461">
        <v>320</v>
      </c>
      <c r="O32" s="461">
        <f>O31/M28</f>
        <v>3191.265060240964</v>
      </c>
      <c r="P32" s="102"/>
      <c r="Q32" s="205"/>
      <c r="R32" s="140"/>
      <c r="S32" s="205"/>
      <c r="T32" s="205"/>
      <c r="U32" s="68"/>
      <c r="V32" s="68"/>
      <c r="W32" s="78" t="s">
        <v>225</v>
      </c>
      <c r="X32" s="97"/>
      <c r="AB32" s="97"/>
      <c r="AC32" s="97"/>
      <c r="AH32" t="s">
        <v>369</v>
      </c>
      <c r="AJ32"/>
      <c r="AK32"/>
      <c r="AL32" t="s">
        <v>29</v>
      </c>
      <c r="AM32"/>
      <c r="AN32">
        <v>3000</v>
      </c>
      <c r="AO32" s="363"/>
      <c r="AP32" s="369"/>
    </row>
    <row r="33" spans="2:42" ht="12.75">
      <c r="B33" s="122" t="s">
        <v>47</v>
      </c>
      <c r="C33" s="122"/>
      <c r="D33" s="161" t="s">
        <v>20</v>
      </c>
      <c r="E33" s="162">
        <f>Calculation01!R90</f>
        <v>32.86886731922021</v>
      </c>
      <c r="F33" s="104"/>
      <c r="G33" s="141"/>
      <c r="H33" s="68"/>
      <c r="I33" s="426"/>
      <c r="J33" s="71"/>
      <c r="K33" s="71"/>
      <c r="L33" s="9"/>
      <c r="M33" s="9"/>
      <c r="N33" s="9"/>
      <c r="O33" s="9">
        <f>N32+O32</f>
        <v>3511.265060240964</v>
      </c>
      <c r="P33" s="102"/>
      <c r="Q33" s="205"/>
      <c r="R33" s="140"/>
      <c r="S33" s="205"/>
      <c r="T33" s="205"/>
      <c r="U33" s="68"/>
      <c r="V33" s="68"/>
      <c r="W33" s="542" t="s">
        <v>357</v>
      </c>
      <c r="X33" s="540"/>
      <c r="Y33" s="540"/>
      <c r="Z33" s="540"/>
      <c r="AA33" s="540"/>
      <c r="AB33" s="97" t="s">
        <v>119</v>
      </c>
      <c r="AC33" s="97"/>
      <c r="AF33" s="368"/>
      <c r="AH33" t="s">
        <v>370</v>
      </c>
      <c r="AJ33"/>
      <c r="AK33"/>
      <c r="AL33" t="s">
        <v>29</v>
      </c>
      <c r="AM33"/>
      <c r="AN33">
        <v>1400</v>
      </c>
      <c r="AO33" s="363"/>
      <c r="AP33" s="369"/>
    </row>
    <row r="34" spans="2:43" ht="12.75">
      <c r="B34" t="s">
        <v>424</v>
      </c>
      <c r="E34" s="456">
        <f>Calculation01!AD76</f>
        <v>3.185255105545991</v>
      </c>
      <c r="G34" s="3">
        <f>Calculation01!AD76</f>
        <v>3.185255105545991</v>
      </c>
      <c r="H34">
        <f>Data!AD5</f>
        <v>35000</v>
      </c>
      <c r="I34">
        <f>G34*H34</f>
        <v>111483.92869410968</v>
      </c>
      <c r="J34" s="68"/>
      <c r="K34" s="68"/>
      <c r="L34" s="9"/>
      <c r="M34" s="9"/>
      <c r="N34" s="9"/>
      <c r="O34" s="6">
        <f>O33*M28</f>
        <v>23739.98268168</v>
      </c>
      <c r="P34" s="102"/>
      <c r="Q34" s="205"/>
      <c r="R34" s="140"/>
      <c r="S34" s="205"/>
      <c r="T34" s="205"/>
      <c r="U34" s="68"/>
      <c r="V34" s="68"/>
      <c r="W34" s="540"/>
      <c r="X34" s="540"/>
      <c r="Y34" s="540"/>
      <c r="Z34" s="540"/>
      <c r="AA34" s="540"/>
      <c r="AB34" s="97"/>
      <c r="AC34" s="97"/>
      <c r="AH34" t="s">
        <v>372</v>
      </c>
      <c r="AJ34"/>
      <c r="AK34"/>
      <c r="AL34" t="s">
        <v>29</v>
      </c>
      <c r="AM34"/>
      <c r="AN34">
        <v>750</v>
      </c>
      <c r="AO34" s="371"/>
      <c r="AP34" s="21"/>
      <c r="AQ34" s="1"/>
    </row>
    <row r="35" spans="2:43" ht="12.75">
      <c r="B35" s="100" t="s">
        <v>112</v>
      </c>
      <c r="C35" s="100"/>
      <c r="H35" s="68"/>
      <c r="I35" s="426"/>
      <c r="J35" s="68"/>
      <c r="K35" s="68"/>
      <c r="P35" s="102"/>
      <c r="Q35" s="205"/>
      <c r="R35" s="140"/>
      <c r="S35" s="205"/>
      <c r="T35" s="205"/>
      <c r="U35" s="68"/>
      <c r="V35" s="68"/>
      <c r="W35" s="542" t="s">
        <v>358</v>
      </c>
      <c r="X35" s="540"/>
      <c r="Y35" s="540"/>
      <c r="Z35" s="540"/>
      <c r="AA35" s="540"/>
      <c r="AB35" s="97" t="s">
        <v>119</v>
      </c>
      <c r="AC35" s="97"/>
      <c r="AH35" t="s">
        <v>373</v>
      </c>
      <c r="AJ35"/>
      <c r="AK35"/>
      <c r="AL35" t="s">
        <v>29</v>
      </c>
      <c r="AM35"/>
      <c r="AN35">
        <v>650</v>
      </c>
      <c r="AO35" s="372"/>
      <c r="AP35" s="370"/>
      <c r="AQ35" s="372"/>
    </row>
    <row r="36" spans="1:43" ht="12.75">
      <c r="A36">
        <v>10</v>
      </c>
      <c r="B36" s="101" t="s">
        <v>197</v>
      </c>
      <c r="C36" s="101"/>
      <c r="D36" s="137"/>
      <c r="E36" s="138"/>
      <c r="F36" s="104" t="s">
        <v>113</v>
      </c>
      <c r="G36" s="141">
        <f>Calculation01!O45</f>
        <v>753.4323</v>
      </c>
      <c r="H36" s="392">
        <v>100</v>
      </c>
      <c r="I36" s="426">
        <f>G36*H36</f>
        <v>75343.23000000001</v>
      </c>
      <c r="J36" s="68"/>
      <c r="K36" s="68"/>
      <c r="P36" s="102"/>
      <c r="Q36" s="205"/>
      <c r="R36" s="140"/>
      <c r="S36" s="205"/>
      <c r="T36" s="205"/>
      <c r="U36" s="68"/>
      <c r="V36" s="68"/>
      <c r="W36" s="540"/>
      <c r="X36" s="540"/>
      <c r="Y36" s="540"/>
      <c r="Z36" s="540"/>
      <c r="AA36" s="540"/>
      <c r="AF36" s="370"/>
      <c r="AH36" t="s">
        <v>374</v>
      </c>
      <c r="AJ36"/>
      <c r="AK36"/>
      <c r="AL36" t="s">
        <v>29</v>
      </c>
      <c r="AM36"/>
      <c r="AN36">
        <v>1500</v>
      </c>
      <c r="AO36" s="372"/>
      <c r="AP36" s="370"/>
      <c r="AQ36" s="372"/>
    </row>
    <row r="37" spans="1:43" ht="12.75">
      <c r="A37">
        <v>11</v>
      </c>
      <c r="B37" s="101" t="s">
        <v>198</v>
      </c>
      <c r="C37" s="101"/>
      <c r="D37" s="137"/>
      <c r="E37" s="138"/>
      <c r="F37" s="104" t="s">
        <v>113</v>
      </c>
      <c r="G37" s="141">
        <f>Calculation01!O46</f>
        <v>366.40099999999995</v>
      </c>
      <c r="H37" s="392">
        <v>105</v>
      </c>
      <c r="I37" s="426">
        <f>G37*H37</f>
        <v>38472.104999999996</v>
      </c>
      <c r="J37" s="71"/>
      <c r="K37" s="71"/>
      <c r="P37" s="102"/>
      <c r="Q37" s="205"/>
      <c r="R37" s="140"/>
      <c r="S37" s="205"/>
      <c r="T37" s="205"/>
      <c r="U37" s="68"/>
      <c r="V37" s="68"/>
      <c r="AK37" s="372"/>
      <c r="AL37" s="372"/>
      <c r="AM37" s="372"/>
      <c r="AN37" s="372"/>
      <c r="AO37" s="372"/>
      <c r="AP37" s="370"/>
      <c r="AQ37" s="372"/>
    </row>
    <row r="38" spans="2:43" ht="12.75">
      <c r="B38" s="160" t="s">
        <v>47</v>
      </c>
      <c r="C38" s="160"/>
      <c r="D38" s="161" t="s">
        <v>113</v>
      </c>
      <c r="E38" s="162">
        <f>Calculation01!O47</f>
        <v>1119.8333</v>
      </c>
      <c r="F38" s="137"/>
      <c r="G38" s="141"/>
      <c r="H38" s="140"/>
      <c r="I38" s="426"/>
      <c r="J38" s="71"/>
      <c r="K38" s="71"/>
      <c r="P38" s="102"/>
      <c r="Q38" s="205"/>
      <c r="R38" s="140"/>
      <c r="S38" s="205"/>
      <c r="T38" s="205"/>
      <c r="U38" s="68"/>
      <c r="V38" s="68"/>
      <c r="AK38" s="373"/>
      <c r="AL38" s="373"/>
      <c r="AM38" s="374"/>
      <c r="AN38" s="371"/>
      <c r="AO38" s="374"/>
      <c r="AP38" s="21"/>
      <c r="AQ38" s="21"/>
    </row>
    <row r="39" spans="2:43" ht="12.75">
      <c r="B39" s="163"/>
      <c r="C39" s="163"/>
      <c r="D39" s="161"/>
      <c r="H39" s="140"/>
      <c r="I39" s="426"/>
      <c r="J39" s="71"/>
      <c r="K39" s="71"/>
      <c r="P39" s="102"/>
      <c r="Q39" s="205"/>
      <c r="R39" s="140"/>
      <c r="S39" s="205"/>
      <c r="T39" s="205"/>
      <c r="U39" s="68"/>
      <c r="V39" s="68"/>
      <c r="AF39" s="21"/>
      <c r="AG39" s="21"/>
      <c r="AH39" s="21"/>
      <c r="AI39" s="73"/>
      <c r="AJ39" s="375"/>
      <c r="AK39" s="376"/>
      <c r="AL39" s="377"/>
      <c r="AM39" s="378"/>
      <c r="AN39" s="379"/>
      <c r="AO39" s="380"/>
      <c r="AP39" s="381"/>
      <c r="AQ39" s="390"/>
    </row>
    <row r="40" spans="2:43" ht="12.75">
      <c r="B40" s="100" t="s">
        <v>173</v>
      </c>
      <c r="C40" s="100"/>
      <c r="D40" s="104"/>
      <c r="E40" s="452"/>
      <c r="H40" s="140"/>
      <c r="I40" s="426"/>
      <c r="J40" s="71"/>
      <c r="K40" s="71"/>
      <c r="P40" s="102"/>
      <c r="Q40" s="140"/>
      <c r="R40" s="140"/>
      <c r="S40" s="205"/>
      <c r="T40" s="205"/>
      <c r="U40" s="68"/>
      <c r="V40" s="68"/>
      <c r="AF40" s="21"/>
      <c r="AG40" s="21"/>
      <c r="AH40" s="21"/>
      <c r="AI40" s="21"/>
      <c r="AJ40" s="382"/>
      <c r="AK40" s="382"/>
      <c r="AL40" s="382"/>
      <c r="AM40" s="371"/>
      <c r="AN40" s="371"/>
      <c r="AO40" s="371"/>
      <c r="AP40" s="21"/>
      <c r="AQ40" s="1"/>
    </row>
    <row r="41" spans="1:43" ht="12.75">
      <c r="A41">
        <v>12</v>
      </c>
      <c r="B41" s="101" t="s">
        <v>271</v>
      </c>
      <c r="C41" s="101"/>
      <c r="F41" s="104" t="s">
        <v>20</v>
      </c>
      <c r="G41" s="141">
        <f>Calculation01!I58</f>
        <v>7.617</v>
      </c>
      <c r="H41" s="393">
        <v>1</v>
      </c>
      <c r="I41" s="426">
        <f>G41*H41</f>
        <v>7.617</v>
      </c>
      <c r="J41" s="71"/>
      <c r="K41" s="71"/>
      <c r="P41" s="102"/>
      <c r="Q41" s="140"/>
      <c r="R41" s="140"/>
      <c r="S41" s="205"/>
      <c r="T41" s="205"/>
      <c r="U41" s="68"/>
      <c r="V41" s="68"/>
      <c r="AF41" s="73"/>
      <c r="AG41" s="21"/>
      <c r="AH41" s="21"/>
      <c r="AI41" s="21"/>
      <c r="AJ41" s="374"/>
      <c r="AK41" s="382"/>
      <c r="AL41" s="383"/>
      <c r="AM41" s="384"/>
      <c r="AN41" s="371"/>
      <c r="AO41" s="371"/>
      <c r="AP41" s="21"/>
      <c r="AQ41" s="1"/>
    </row>
    <row r="42" spans="10:43" ht="12.75">
      <c r="J42" s="71"/>
      <c r="K42" s="71"/>
      <c r="P42" s="102"/>
      <c r="Q42" s="140"/>
      <c r="R42" s="140"/>
      <c r="S42" s="205"/>
      <c r="T42" s="205"/>
      <c r="U42" s="68"/>
      <c r="V42" s="68"/>
      <c r="AF42" s="21"/>
      <c r="AG42" s="21"/>
      <c r="AH42" s="21"/>
      <c r="AI42" s="21"/>
      <c r="AJ42" s="374"/>
      <c r="AK42" s="382"/>
      <c r="AL42" s="383"/>
      <c r="AM42" s="382"/>
      <c r="AN42" s="371"/>
      <c r="AO42" s="371"/>
      <c r="AP42" s="21"/>
      <c r="AQ42" s="1"/>
    </row>
    <row r="43" spans="1:43" ht="12.75">
      <c r="A43">
        <v>13</v>
      </c>
      <c r="B43" s="160" t="s">
        <v>406</v>
      </c>
      <c r="C43" s="160"/>
      <c r="D43" s="161"/>
      <c r="F43" s="13" t="s">
        <v>407</v>
      </c>
      <c r="H43" s="140"/>
      <c r="I43" s="426"/>
      <c r="J43" s="71"/>
      <c r="K43" s="71"/>
      <c r="P43" s="97"/>
      <c r="Q43" s="140"/>
      <c r="R43" s="140"/>
      <c r="S43" s="205"/>
      <c r="T43" s="205"/>
      <c r="U43" s="68"/>
      <c r="V43" s="68"/>
      <c r="AF43" s="73"/>
      <c r="AG43" s="21"/>
      <c r="AH43" s="21"/>
      <c r="AI43" s="21"/>
      <c r="AJ43" s="374"/>
      <c r="AK43" s="382"/>
      <c r="AL43" s="383"/>
      <c r="AM43" s="371"/>
      <c r="AN43" s="371"/>
      <c r="AO43" s="371"/>
      <c r="AP43" s="21"/>
      <c r="AQ43" s="1"/>
    </row>
    <row r="44" spans="2:43" ht="12.75">
      <c r="B44" s="160"/>
      <c r="C44" s="160"/>
      <c r="D44" s="161"/>
      <c r="H44" s="140"/>
      <c r="I44" s="426"/>
      <c r="J44" s="71"/>
      <c r="K44" s="71"/>
      <c r="P44" s="97"/>
      <c r="Q44" s="140"/>
      <c r="R44" s="140"/>
      <c r="S44" s="205"/>
      <c r="T44" s="205"/>
      <c r="U44" s="68"/>
      <c r="V44" s="68"/>
      <c r="AF44" s="21"/>
      <c r="AG44" s="21"/>
      <c r="AH44" s="21"/>
      <c r="AI44" s="21"/>
      <c r="AJ44" s="374"/>
      <c r="AK44" s="382"/>
      <c r="AL44" s="383"/>
      <c r="AM44" s="384"/>
      <c r="AN44" s="371"/>
      <c r="AO44" s="371"/>
      <c r="AP44" s="21"/>
      <c r="AQ44" s="1"/>
    </row>
    <row r="45" spans="2:43" ht="12.75">
      <c r="B45" s="100" t="s">
        <v>117</v>
      </c>
      <c r="C45" s="100"/>
      <c r="F45" s="104"/>
      <c r="G45" s="134"/>
      <c r="H45" s="71"/>
      <c r="I45" s="426"/>
      <c r="J45" s="71"/>
      <c r="K45" s="71"/>
      <c r="P45" s="97"/>
      <c r="Q45" s="140"/>
      <c r="R45" s="140"/>
      <c r="S45" s="205"/>
      <c r="T45" s="205"/>
      <c r="U45" s="68"/>
      <c r="V45" s="68"/>
      <c r="AF45" s="21"/>
      <c r="AG45" s="21"/>
      <c r="AH45" s="21"/>
      <c r="AI45" s="21"/>
      <c r="AJ45" s="374"/>
      <c r="AK45" s="382"/>
      <c r="AL45" s="383"/>
      <c r="AM45" s="385"/>
      <c r="AN45" s="371"/>
      <c r="AO45" s="371"/>
      <c r="AP45" s="21"/>
      <c r="AQ45" s="1"/>
    </row>
    <row r="46" spans="2:43" ht="12.75">
      <c r="B46" s="284" t="str">
        <f>Calculation01!A31</f>
        <v>G.F</v>
      </c>
      <c r="C46" s="284"/>
      <c r="D46" s="104"/>
      <c r="E46" s="452"/>
      <c r="F46" s="104"/>
      <c r="G46" s="136"/>
      <c r="H46" s="71"/>
      <c r="I46" s="426"/>
      <c r="J46" s="71"/>
      <c r="K46" s="71"/>
      <c r="P46" s="97"/>
      <c r="Q46" s="140"/>
      <c r="R46" s="140"/>
      <c r="S46" s="205"/>
      <c r="T46" s="205"/>
      <c r="U46" s="68"/>
      <c r="V46" s="68"/>
      <c r="AF46" s="73"/>
      <c r="AG46" s="21"/>
      <c r="AH46" s="21"/>
      <c r="AI46" s="21"/>
      <c r="AJ46" s="371"/>
      <c r="AK46" s="371"/>
      <c r="AL46" s="371"/>
      <c r="AM46" s="371"/>
      <c r="AN46" s="371"/>
      <c r="AO46" s="371"/>
      <c r="AP46" s="21"/>
      <c r="AQ46" s="1"/>
    </row>
    <row r="47" spans="1:43" ht="12.75">
      <c r="A47">
        <v>13</v>
      </c>
      <c r="B47" s="135" t="str">
        <f>Calculation01!A32</f>
        <v>Kitchen</v>
      </c>
      <c r="C47" s="135"/>
      <c r="D47" s="104"/>
      <c r="E47" s="452"/>
      <c r="F47" s="104" t="s">
        <v>113</v>
      </c>
      <c r="G47" s="136">
        <f>Calculation01!B32</f>
        <v>12</v>
      </c>
      <c r="H47" s="391">
        <v>500</v>
      </c>
      <c r="I47" s="426">
        <f aca="true" t="shared" si="3" ref="I47:I57">G47*H47</f>
        <v>6000</v>
      </c>
      <c r="J47" s="71"/>
      <c r="K47" s="71"/>
      <c r="P47" s="97"/>
      <c r="Q47" s="140"/>
      <c r="R47" s="140"/>
      <c r="S47" s="205"/>
      <c r="T47" s="205"/>
      <c r="U47" s="68"/>
      <c r="V47" s="68"/>
      <c r="AF47" s="21"/>
      <c r="AG47" s="21"/>
      <c r="AH47" s="21"/>
      <c r="AI47" s="21"/>
      <c r="AJ47" s="374"/>
      <c r="AK47" s="382"/>
      <c r="AL47" s="383"/>
      <c r="AM47" s="384"/>
      <c r="AN47" s="371"/>
      <c r="AO47" s="371"/>
      <c r="AP47" s="21"/>
      <c r="AQ47" s="1"/>
    </row>
    <row r="48" spans="1:43" ht="12.75">
      <c r="A48">
        <v>14</v>
      </c>
      <c r="B48" s="135" t="str">
        <f>Calculation01!A33</f>
        <v>Work area</v>
      </c>
      <c r="C48" s="135"/>
      <c r="D48" s="104"/>
      <c r="E48" s="452"/>
      <c r="F48" s="104" t="s">
        <v>113</v>
      </c>
      <c r="G48" s="136">
        <f>Calculation01!B33</f>
        <v>5.6</v>
      </c>
      <c r="H48" s="391">
        <v>500</v>
      </c>
      <c r="I48" s="426">
        <f t="shared" si="3"/>
        <v>2800</v>
      </c>
      <c r="J48" s="71"/>
      <c r="K48" s="71"/>
      <c r="P48" s="97"/>
      <c r="Q48" s="140"/>
      <c r="R48" s="140"/>
      <c r="S48" s="205"/>
      <c r="T48" s="205"/>
      <c r="U48" s="68"/>
      <c r="V48" s="68"/>
      <c r="AF48" s="21"/>
      <c r="AG48" s="21"/>
      <c r="AH48" s="21"/>
      <c r="AI48" s="21"/>
      <c r="AJ48" s="374"/>
      <c r="AK48" s="382"/>
      <c r="AL48" s="383"/>
      <c r="AM48" s="371"/>
      <c r="AN48" s="371"/>
      <c r="AO48" s="371"/>
      <c r="AP48" s="21"/>
      <c r="AQ48" s="1"/>
    </row>
    <row r="49" spans="1:43" ht="12.75">
      <c r="A49">
        <v>15</v>
      </c>
      <c r="B49" s="135" t="str">
        <f>Calculation01!A34</f>
        <v>Bed room</v>
      </c>
      <c r="C49" s="135"/>
      <c r="F49" s="104" t="s">
        <v>113</v>
      </c>
      <c r="G49" s="136">
        <f>Calculation01!B34</f>
        <v>27.2</v>
      </c>
      <c r="H49" s="391">
        <v>500</v>
      </c>
      <c r="I49" s="426">
        <f t="shared" si="3"/>
        <v>13600</v>
      </c>
      <c r="J49" s="71"/>
      <c r="K49" s="71"/>
      <c r="P49" s="97"/>
      <c r="Q49" s="140"/>
      <c r="R49" s="140"/>
      <c r="S49" s="205"/>
      <c r="T49" s="205"/>
      <c r="U49" s="68"/>
      <c r="V49" s="68"/>
      <c r="AF49" s="73"/>
      <c r="AG49" s="21"/>
      <c r="AH49" s="21"/>
      <c r="AI49" s="21"/>
      <c r="AJ49" s="374"/>
      <c r="AK49" s="382"/>
      <c r="AL49" s="383"/>
      <c r="AM49" s="371"/>
      <c r="AN49" s="371"/>
      <c r="AO49" s="371"/>
      <c r="AP49" s="21"/>
      <c r="AQ49" s="1"/>
    </row>
    <row r="50" spans="1:43" ht="12.75">
      <c r="A50">
        <v>16</v>
      </c>
      <c r="B50" s="135" t="str">
        <f>Calculation01!A35</f>
        <v>Bed room </v>
      </c>
      <c r="C50" s="135"/>
      <c r="D50" s="104"/>
      <c r="E50" s="452"/>
      <c r="F50" s="104" t="s">
        <v>113</v>
      </c>
      <c r="G50" s="136">
        <f>Calculation01!B35</f>
        <v>0</v>
      </c>
      <c r="H50" s="391">
        <v>500</v>
      </c>
      <c r="I50" s="426">
        <f t="shared" si="3"/>
        <v>0</v>
      </c>
      <c r="J50" s="71"/>
      <c r="K50" s="71"/>
      <c r="P50" s="97"/>
      <c r="Q50" s="140"/>
      <c r="R50" s="140"/>
      <c r="S50" s="205"/>
      <c r="T50" s="205"/>
      <c r="U50" s="68"/>
      <c r="V50" s="68"/>
      <c r="AF50" s="21"/>
      <c r="AG50" s="21"/>
      <c r="AH50" s="21"/>
      <c r="AI50" s="21"/>
      <c r="AJ50" s="374"/>
      <c r="AK50" s="382"/>
      <c r="AL50" s="383"/>
      <c r="AM50" s="371"/>
      <c r="AN50" s="371"/>
      <c r="AO50" s="371"/>
      <c r="AP50" s="21"/>
      <c r="AQ50" s="1"/>
    </row>
    <row r="51" spans="1:43" ht="12.75">
      <c r="A51">
        <v>17</v>
      </c>
      <c r="B51" s="135" t="str">
        <f>Calculation01!A36</f>
        <v>Dining Room</v>
      </c>
      <c r="C51" s="135"/>
      <c r="D51" s="137"/>
      <c r="E51" s="138"/>
      <c r="F51" s="104" t="s">
        <v>113</v>
      </c>
      <c r="G51" s="136">
        <f>Calculation01!B36</f>
        <v>18.2</v>
      </c>
      <c r="H51" s="392">
        <v>500</v>
      </c>
      <c r="I51" s="426">
        <f t="shared" si="3"/>
        <v>9100</v>
      </c>
      <c r="J51" s="71"/>
      <c r="K51" s="71"/>
      <c r="P51" s="97"/>
      <c r="Q51" s="140"/>
      <c r="R51" s="140"/>
      <c r="S51" s="205"/>
      <c r="T51" s="205"/>
      <c r="U51" s="68"/>
      <c r="V51" s="68"/>
      <c r="AF51" s="21"/>
      <c r="AG51" s="21"/>
      <c r="AH51" s="21"/>
      <c r="AI51" s="21"/>
      <c r="AJ51" s="374"/>
      <c r="AK51" s="382"/>
      <c r="AL51" s="383"/>
      <c r="AM51" s="371"/>
      <c r="AN51" s="371"/>
      <c r="AO51" s="371"/>
      <c r="AP51" s="21"/>
      <c r="AQ51" s="1"/>
    </row>
    <row r="52" spans="1:43" ht="12.75">
      <c r="A52">
        <v>18</v>
      </c>
      <c r="B52" s="135" t="str">
        <f>Calculation01!A37</f>
        <v>Drawing Room</v>
      </c>
      <c r="C52" s="135"/>
      <c r="F52" s="104" t="s">
        <v>113</v>
      </c>
      <c r="G52" s="136">
        <f>Calculation01!B37</f>
        <v>14</v>
      </c>
      <c r="H52" s="392">
        <v>500</v>
      </c>
      <c r="I52" s="426">
        <f t="shared" si="3"/>
        <v>7000</v>
      </c>
      <c r="J52" s="68"/>
      <c r="K52" s="68"/>
      <c r="P52" s="97"/>
      <c r="Q52" s="140"/>
      <c r="R52" s="140"/>
      <c r="S52" s="205"/>
      <c r="T52" s="205"/>
      <c r="U52" s="68"/>
      <c r="V52" s="68"/>
      <c r="AF52" s="73"/>
      <c r="AG52" s="21"/>
      <c r="AH52" s="21"/>
      <c r="AI52" s="21"/>
      <c r="AJ52" s="374"/>
      <c r="AK52" s="382"/>
      <c r="AL52" s="383"/>
      <c r="AM52" s="386"/>
      <c r="AN52" s="371"/>
      <c r="AO52" s="371"/>
      <c r="AP52" s="21"/>
      <c r="AQ52" s="1"/>
    </row>
    <row r="53" spans="1:43" ht="12.75">
      <c r="A53">
        <v>19</v>
      </c>
      <c r="B53" s="135" t="str">
        <f>Calculation01!A38</f>
        <v>Verandah</v>
      </c>
      <c r="C53" s="135"/>
      <c r="F53" s="104" t="s">
        <v>113</v>
      </c>
      <c r="G53" s="136">
        <f>Calculation01!B38</f>
        <v>8.5</v>
      </c>
      <c r="H53" s="392">
        <v>500</v>
      </c>
      <c r="I53" s="426">
        <f t="shared" si="3"/>
        <v>4250</v>
      </c>
      <c r="J53" s="68"/>
      <c r="K53" s="68"/>
      <c r="P53" s="97"/>
      <c r="Q53" s="140"/>
      <c r="R53" s="140"/>
      <c r="S53" s="205"/>
      <c r="T53" s="205"/>
      <c r="U53" s="68"/>
      <c r="V53" s="68"/>
      <c r="AF53" s="21"/>
      <c r="AG53" s="21"/>
      <c r="AH53" s="21"/>
      <c r="AI53" s="21"/>
      <c r="AJ53" s="374"/>
      <c r="AK53" s="382"/>
      <c r="AL53" s="383"/>
      <c r="AM53" s="384"/>
      <c r="AN53" s="371"/>
      <c r="AO53" s="371"/>
      <c r="AP53" s="21"/>
      <c r="AQ53" s="1"/>
    </row>
    <row r="54" spans="1:43" ht="12.75">
      <c r="A54">
        <v>20</v>
      </c>
      <c r="B54" s="135" t="s">
        <v>294</v>
      </c>
      <c r="C54" s="135"/>
      <c r="F54" s="104" t="s">
        <v>113</v>
      </c>
      <c r="G54" s="136">
        <f>Calculation01!B39</f>
        <v>8.06</v>
      </c>
      <c r="H54" s="392">
        <v>300</v>
      </c>
      <c r="I54" s="426">
        <f t="shared" si="3"/>
        <v>2418</v>
      </c>
      <c r="J54" s="68"/>
      <c r="K54" s="68"/>
      <c r="P54" s="97"/>
      <c r="Q54" s="140"/>
      <c r="R54" s="140"/>
      <c r="S54" s="205"/>
      <c r="T54" s="205"/>
      <c r="U54" s="68"/>
      <c r="V54" s="68"/>
      <c r="AF54" s="21"/>
      <c r="AG54" s="21"/>
      <c r="AH54" s="21"/>
      <c r="AI54" s="21"/>
      <c r="AJ54" s="374"/>
      <c r="AK54" s="382"/>
      <c r="AL54" s="383"/>
      <c r="AM54" s="371"/>
      <c r="AN54" s="371"/>
      <c r="AO54" s="371"/>
      <c r="AP54" s="21"/>
      <c r="AQ54" s="1"/>
    </row>
    <row r="55" spans="1:43" ht="12.75">
      <c r="A55">
        <v>21</v>
      </c>
      <c r="B55" s="135" t="str">
        <f>Calculation01!A42</f>
        <v>Additional Room </v>
      </c>
      <c r="C55" s="135"/>
      <c r="F55" s="104" t="s">
        <v>113</v>
      </c>
      <c r="G55" s="136">
        <f>Calculation01!B42</f>
        <v>0</v>
      </c>
      <c r="H55" s="392">
        <v>1</v>
      </c>
      <c r="I55" s="426">
        <f t="shared" si="3"/>
        <v>0</v>
      </c>
      <c r="J55" s="68"/>
      <c r="K55" s="68"/>
      <c r="P55" s="97"/>
      <c r="Q55" s="140"/>
      <c r="R55" s="140"/>
      <c r="S55" s="205"/>
      <c r="T55" s="205"/>
      <c r="U55" s="68"/>
      <c r="V55" s="68"/>
      <c r="AF55" s="73"/>
      <c r="AG55" s="21"/>
      <c r="AH55" s="21"/>
      <c r="AI55" s="21"/>
      <c r="AJ55" s="374"/>
      <c r="AK55" s="382"/>
      <c r="AL55" s="383"/>
      <c r="AM55" s="371"/>
      <c r="AN55" s="371"/>
      <c r="AO55" s="371"/>
      <c r="AP55" s="21"/>
      <c r="AQ55" s="1"/>
    </row>
    <row r="56" spans="1:43" ht="12.75">
      <c r="A56">
        <v>22</v>
      </c>
      <c r="B56" s="135" t="str">
        <f>Calculation01!A43</f>
        <v>Below Stair</v>
      </c>
      <c r="C56" s="135"/>
      <c r="F56" s="104" t="s">
        <v>113</v>
      </c>
      <c r="G56" s="136">
        <f>Calculation01!B43</f>
        <v>8</v>
      </c>
      <c r="H56" s="359">
        <v>500</v>
      </c>
      <c r="I56" s="426">
        <f t="shared" si="3"/>
        <v>4000</v>
      </c>
      <c r="J56" s="68"/>
      <c r="K56" s="68"/>
      <c r="P56" s="97"/>
      <c r="Q56" s="140"/>
      <c r="R56" s="140"/>
      <c r="S56" s="205"/>
      <c r="T56" s="205"/>
      <c r="U56" s="68"/>
      <c r="V56" s="68"/>
      <c r="AF56" s="21"/>
      <c r="AG56" s="21"/>
      <c r="AH56" s="21"/>
      <c r="AI56" s="21"/>
      <c r="AJ56" s="374"/>
      <c r="AK56" s="382"/>
      <c r="AL56" s="383"/>
      <c r="AM56" s="384"/>
      <c r="AN56" s="371"/>
      <c r="AO56" s="371"/>
      <c r="AP56" s="21"/>
      <c r="AQ56" s="1"/>
    </row>
    <row r="57" spans="1:43" ht="12.75">
      <c r="A57">
        <v>23</v>
      </c>
      <c r="B57" t="s">
        <v>295</v>
      </c>
      <c r="F57" s="104" t="s">
        <v>113</v>
      </c>
      <c r="G57">
        <f>Calculation01!H38</f>
        <v>9.6</v>
      </c>
      <c r="H57" s="359">
        <v>80</v>
      </c>
      <c r="I57" s="426">
        <f t="shared" si="3"/>
        <v>768</v>
      </c>
      <c r="J57" s="68"/>
      <c r="K57" s="68"/>
      <c r="P57" s="97"/>
      <c r="Q57" s="140"/>
      <c r="R57" s="140"/>
      <c r="S57" s="205"/>
      <c r="T57" s="205"/>
      <c r="U57" s="68"/>
      <c r="V57" s="68"/>
      <c r="AF57" s="21"/>
      <c r="AG57" s="21"/>
      <c r="AH57" s="21"/>
      <c r="AI57" s="21"/>
      <c r="AJ57" s="387"/>
      <c r="AK57" s="371"/>
      <c r="AL57" s="383"/>
      <c r="AM57" s="371"/>
      <c r="AN57" s="371"/>
      <c r="AO57" s="371"/>
      <c r="AP57" s="21"/>
      <c r="AQ57" s="1"/>
    </row>
    <row r="58" spans="2:43" ht="12.75">
      <c r="B58" s="284" t="str">
        <f>Calculation01!A44</f>
        <v>F.F</v>
      </c>
      <c r="C58" s="284"/>
      <c r="F58" s="104"/>
      <c r="G58" s="136"/>
      <c r="H58" s="340"/>
      <c r="I58" s="426"/>
      <c r="P58" s="97"/>
      <c r="Q58" s="140"/>
      <c r="R58" s="140"/>
      <c r="S58" s="140"/>
      <c r="T58" s="140"/>
      <c r="U58" s="71"/>
      <c r="V58" s="68"/>
      <c r="AF58" s="21"/>
      <c r="AG58" s="21"/>
      <c r="AH58" s="21"/>
      <c r="AI58" s="21"/>
      <c r="AJ58" s="374"/>
      <c r="AK58" s="371"/>
      <c r="AL58" s="383"/>
      <c r="AM58" s="384"/>
      <c r="AN58" s="371"/>
      <c r="AO58" s="371"/>
      <c r="AP58" s="21"/>
      <c r="AQ58" s="1"/>
    </row>
    <row r="59" spans="1:43" ht="12.75">
      <c r="A59">
        <v>24</v>
      </c>
      <c r="B59" s="135" t="str">
        <f>Calculation01!A45</f>
        <v>Bed Room </v>
      </c>
      <c r="C59" s="135"/>
      <c r="F59" s="104" t="s">
        <v>113</v>
      </c>
      <c r="G59" s="136">
        <f>Calculation01!B45</f>
        <v>14</v>
      </c>
      <c r="H59" s="359">
        <v>500</v>
      </c>
      <c r="I59" s="426">
        <f>G59*H59</f>
        <v>7000</v>
      </c>
      <c r="J59" s="3"/>
      <c r="K59" s="3"/>
      <c r="P59" s="97"/>
      <c r="Q59" s="140"/>
      <c r="R59" s="140"/>
      <c r="S59" s="140"/>
      <c r="T59" s="140">
        <f>SUM(T2:T58)</f>
        <v>983093.2974451958</v>
      </c>
      <c r="U59" s="71"/>
      <c r="V59" s="68"/>
      <c r="AF59" s="21"/>
      <c r="AG59" s="21"/>
      <c r="AH59" s="21"/>
      <c r="AI59" s="21"/>
      <c r="AJ59" s="374"/>
      <c r="AK59" s="371"/>
      <c r="AL59" s="383"/>
      <c r="AM59" s="371"/>
      <c r="AN59" s="371"/>
      <c r="AO59" s="371"/>
      <c r="AP59" s="21"/>
      <c r="AQ59" s="1"/>
    </row>
    <row r="60" spans="1:43" ht="12.75">
      <c r="A60">
        <v>25</v>
      </c>
      <c r="B60" s="135" t="s">
        <v>294</v>
      </c>
      <c r="C60" s="135"/>
      <c r="F60" s="104" t="s">
        <v>113</v>
      </c>
      <c r="G60" s="136">
        <f>Calculation01!B46</f>
        <v>8.06</v>
      </c>
      <c r="H60" s="359">
        <v>300</v>
      </c>
      <c r="I60" s="426">
        <f>G60*H60</f>
        <v>2418</v>
      </c>
      <c r="P60" s="97"/>
      <c r="Q60" s="140"/>
      <c r="R60" s="140"/>
      <c r="S60" s="140"/>
      <c r="T60" s="140"/>
      <c r="U60" s="71"/>
      <c r="V60" s="68"/>
      <c r="AF60" s="21"/>
      <c r="AG60" s="21"/>
      <c r="AH60" s="21"/>
      <c r="AI60" s="21"/>
      <c r="AJ60" s="374"/>
      <c r="AK60" s="371"/>
      <c r="AL60" s="383"/>
      <c r="AM60" s="384"/>
      <c r="AN60" s="371"/>
      <c r="AO60" s="371"/>
      <c r="AP60" s="21"/>
      <c r="AQ60" s="1"/>
    </row>
    <row r="61" spans="1:43" ht="12.75">
      <c r="A61">
        <v>26</v>
      </c>
      <c r="B61" s="135" t="str">
        <f>Calculation01!A48</f>
        <v>Additional Room </v>
      </c>
      <c r="C61" s="135"/>
      <c r="F61" s="104" t="s">
        <v>113</v>
      </c>
      <c r="G61" s="136">
        <f>Calculation01!B48</f>
        <v>10</v>
      </c>
      <c r="H61" s="359">
        <v>500</v>
      </c>
      <c r="I61" s="426">
        <f>G61*H61</f>
        <v>5000</v>
      </c>
      <c r="P61" s="97"/>
      <c r="Q61" s="205"/>
      <c r="R61" s="205"/>
      <c r="S61" s="205"/>
      <c r="T61" s="205"/>
      <c r="U61" s="68"/>
      <c r="V61" s="68"/>
      <c r="AF61" s="21"/>
      <c r="AG61" s="21"/>
      <c r="AH61" s="21"/>
      <c r="AI61" s="21"/>
      <c r="AJ61" s="371"/>
      <c r="AK61" s="371"/>
      <c r="AL61" s="371"/>
      <c r="AM61" s="371"/>
      <c r="AN61" s="371"/>
      <c r="AO61" s="371"/>
      <c r="AP61" s="21"/>
      <c r="AQ61" s="1"/>
    </row>
    <row r="62" spans="1:43" ht="12.75">
      <c r="A62">
        <v>27</v>
      </c>
      <c r="B62" s="135" t="str">
        <f>Calculation01!A49</f>
        <v>Bed Room </v>
      </c>
      <c r="C62" s="135"/>
      <c r="F62" s="104" t="s">
        <v>113</v>
      </c>
      <c r="G62" s="283">
        <f>Calculation01!B49</f>
        <v>13.2</v>
      </c>
      <c r="H62" s="359">
        <v>500</v>
      </c>
      <c r="I62" s="426">
        <f>G62*H62</f>
        <v>6600</v>
      </c>
      <c r="P62" s="97"/>
      <c r="Q62" s="205"/>
      <c r="R62" s="205"/>
      <c r="S62" s="205"/>
      <c r="T62" s="205"/>
      <c r="U62" s="68"/>
      <c r="V62" s="68"/>
      <c r="AF62" s="21"/>
      <c r="AG62" s="21"/>
      <c r="AH62" s="21"/>
      <c r="AI62" s="21"/>
      <c r="AJ62" s="388"/>
      <c r="AK62" s="371"/>
      <c r="AL62" s="389"/>
      <c r="AM62" s="371"/>
      <c r="AN62" s="371"/>
      <c r="AO62" s="371"/>
      <c r="AP62" s="21"/>
      <c r="AQ62" s="1"/>
    </row>
    <row r="63" spans="1:43" ht="12.75">
      <c r="A63">
        <v>28</v>
      </c>
      <c r="B63" s="135" t="s">
        <v>116</v>
      </c>
      <c r="C63" s="135"/>
      <c r="D63" s="104"/>
      <c r="E63" s="452"/>
      <c r="F63" s="104" t="s">
        <v>113</v>
      </c>
      <c r="G63" s="136">
        <f>Calculation01!L37</f>
        <v>56.190000000000005</v>
      </c>
      <c r="H63" s="359">
        <v>200</v>
      </c>
      <c r="I63" s="426">
        <f>G63*H63</f>
        <v>11238.000000000002</v>
      </c>
      <c r="K63" t="s">
        <v>423</v>
      </c>
      <c r="L63" s="425">
        <f>SUM(I47:I63)</f>
        <v>82192</v>
      </c>
      <c r="P63" s="97"/>
      <c r="Q63" s="205"/>
      <c r="R63" s="205"/>
      <c r="S63" s="205"/>
      <c r="T63" s="205"/>
      <c r="U63" s="68"/>
      <c r="V63" s="68"/>
      <c r="AF63" s="21"/>
      <c r="AG63" s="21"/>
      <c r="AH63" s="21"/>
      <c r="AI63" s="21"/>
      <c r="AJ63" s="371"/>
      <c r="AK63" s="371"/>
      <c r="AL63" s="371"/>
      <c r="AM63" s="371"/>
      <c r="AN63" s="371"/>
      <c r="AO63" s="371"/>
      <c r="AP63" s="21"/>
      <c r="AQ63" s="1"/>
    </row>
    <row r="64" spans="2:43" ht="12.75">
      <c r="B64" t="s">
        <v>351</v>
      </c>
      <c r="I64" s="455">
        <f>SUM(I3:I63)</f>
        <v>754176.9114451959</v>
      </c>
      <c r="L64" s="425">
        <f>I64-L63</f>
        <v>671984.9114451959</v>
      </c>
      <c r="P64" s="102"/>
      <c r="Q64" s="205"/>
      <c r="R64" s="205"/>
      <c r="S64" s="205"/>
      <c r="T64" s="205"/>
      <c r="U64" s="68"/>
      <c r="V64" s="68"/>
      <c r="AF64" s="21"/>
      <c r="AG64" s="21"/>
      <c r="AH64" s="21"/>
      <c r="AI64" s="21"/>
      <c r="AJ64" s="371"/>
      <c r="AK64" s="371"/>
      <c r="AL64" s="371"/>
      <c r="AM64" s="371"/>
      <c r="AN64" s="371"/>
      <c r="AO64" s="371"/>
      <c r="AP64" s="21"/>
      <c r="AQ64" s="1"/>
    </row>
    <row r="65" spans="16:43" ht="12.75">
      <c r="P65" s="102"/>
      <c r="Q65" s="205"/>
      <c r="R65" s="205"/>
      <c r="S65" s="205"/>
      <c r="T65" s="205"/>
      <c r="U65" s="68"/>
      <c r="V65" s="68"/>
      <c r="AF65" s="1"/>
      <c r="AG65" s="1"/>
      <c r="AH65" s="1"/>
      <c r="AI65" s="1"/>
      <c r="AJ65" s="220"/>
      <c r="AK65" s="220"/>
      <c r="AL65" s="220"/>
      <c r="AM65" s="220"/>
      <c r="AN65" s="220"/>
      <c r="AO65" s="220"/>
      <c r="AP65" s="1"/>
      <c r="AQ65" s="1"/>
    </row>
    <row r="66" spans="16:22" ht="12.75">
      <c r="P66" s="102"/>
      <c r="Q66" s="205"/>
      <c r="R66" s="205"/>
      <c r="S66" s="205"/>
      <c r="T66" s="205"/>
      <c r="U66" s="68"/>
      <c r="V66" s="68"/>
    </row>
    <row r="67" ht="12.75">
      <c r="P67" s="102"/>
    </row>
    <row r="68" ht="12.75">
      <c r="P68" s="102"/>
    </row>
    <row r="69" ht="12.75">
      <c r="G69" s="283"/>
    </row>
    <row r="70" spans="2:3" ht="12.75">
      <c r="B70" s="135"/>
      <c r="C70" s="135"/>
    </row>
    <row r="71" spans="2:3" ht="12.75">
      <c r="B71" s="135"/>
      <c r="C71" s="135"/>
    </row>
  </sheetData>
  <sheetProtection/>
  <mergeCells count="13">
    <mergeCell ref="W35:AA36"/>
    <mergeCell ref="W4:AA5"/>
    <mergeCell ref="W6:AA7"/>
    <mergeCell ref="W30:AA31"/>
    <mergeCell ref="W33:AA34"/>
    <mergeCell ref="AG20:AK21"/>
    <mergeCell ref="AG23:AK24"/>
    <mergeCell ref="AG26:AK27"/>
    <mergeCell ref="AG29:AK30"/>
    <mergeCell ref="AG3:AK5"/>
    <mergeCell ref="AG9:AK11"/>
    <mergeCell ref="AG13:AK15"/>
    <mergeCell ref="AG17:AK18"/>
  </mergeCells>
  <printOptions verticalCentered="1"/>
  <pageMargins left="0.7480314960629921" right="0.4724409448818898" top="0.35433070866141736" bottom="0.57" header="0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117"/>
  <sheetViews>
    <sheetView zoomScalePageLayoutView="0" workbookViewId="0" topLeftCell="F58">
      <selection activeCell="Y88" sqref="Y88"/>
    </sheetView>
  </sheetViews>
  <sheetFormatPr defaultColWidth="9.140625" defaultRowHeight="12.75"/>
  <cols>
    <col min="1" max="1" width="14.57421875" style="0" bestFit="1" customWidth="1"/>
    <col min="2" max="2" width="14.57421875" style="0" customWidth="1"/>
    <col min="4" max="4" width="16.7109375" style="0" bestFit="1" customWidth="1"/>
    <col min="6" max="6" width="10.8515625" style="0" customWidth="1"/>
    <col min="9" max="9" width="11.140625" style="0" customWidth="1"/>
    <col min="10" max="10" width="8.28125" style="0" customWidth="1"/>
    <col min="11" max="12" width="10.28125" style="0" customWidth="1"/>
    <col min="13" max="13" width="8.140625" style="0" customWidth="1"/>
    <col min="14" max="14" width="7.140625" style="0" customWidth="1"/>
    <col min="15" max="15" width="6.8515625" style="0" customWidth="1"/>
    <col min="16" max="16" width="13.7109375" style="0" bestFit="1" customWidth="1"/>
    <col min="17" max="17" width="7.00390625" style="0" customWidth="1"/>
    <col min="18" max="18" width="9.28125" style="0" customWidth="1"/>
    <col min="19" max="19" width="8.00390625" style="0" customWidth="1"/>
    <col min="20" max="20" width="5.28125" style="0" customWidth="1"/>
    <col min="21" max="21" width="8.00390625" style="0" customWidth="1"/>
    <col min="22" max="22" width="6.421875" style="0" customWidth="1"/>
    <col min="23" max="23" width="7.00390625" style="0" customWidth="1"/>
    <col min="24" max="24" width="3.7109375" style="0" customWidth="1"/>
    <col min="25" max="25" width="14.00390625" style="0" customWidth="1"/>
    <col min="26" max="26" width="7.421875" style="0" bestFit="1" customWidth="1"/>
    <col min="27" max="27" width="5.28125" style="0" customWidth="1"/>
    <col min="28" max="28" width="7.28125" style="0" customWidth="1"/>
    <col min="29" max="29" width="12.57421875" style="0" bestFit="1" customWidth="1"/>
    <col min="30" max="30" width="7.57421875" style="0" customWidth="1"/>
    <col min="31" max="31" width="8.140625" style="0" customWidth="1"/>
    <col min="32" max="32" width="8.00390625" style="0" customWidth="1"/>
    <col min="33" max="33" width="6.7109375" style="0" customWidth="1"/>
    <col min="34" max="34" width="5.140625" style="0" customWidth="1"/>
    <col min="35" max="35" width="6.140625" style="0" customWidth="1"/>
    <col min="36" max="36" width="11.140625" style="0" customWidth="1"/>
    <col min="37" max="37" width="7.28125" style="0" customWidth="1"/>
    <col min="40" max="40" width="6.28125" style="0" customWidth="1"/>
    <col min="41" max="41" width="7.57421875" style="0" customWidth="1"/>
    <col min="42" max="42" width="9.57421875" style="0" customWidth="1"/>
    <col min="43" max="43" width="6.7109375" style="0" customWidth="1"/>
    <col min="44" max="44" width="8.00390625" style="0" customWidth="1"/>
    <col min="45" max="45" width="7.57421875" style="0" customWidth="1"/>
    <col min="48" max="48" width="6.421875" style="0" customWidth="1"/>
    <col min="50" max="50" width="6.28125" style="0" customWidth="1"/>
    <col min="51" max="51" width="6.421875" style="0" customWidth="1"/>
    <col min="52" max="52" width="6.8515625" style="0" customWidth="1"/>
    <col min="53" max="53" width="8.57421875" style="0" customWidth="1"/>
    <col min="54" max="55" width="9.140625" style="103" customWidth="1"/>
  </cols>
  <sheetData>
    <row r="1" ht="15.75">
      <c r="E1" s="4" t="s">
        <v>0</v>
      </c>
    </row>
    <row r="2" ht="12.75">
      <c r="E2" t="s">
        <v>1</v>
      </c>
    </row>
    <row r="3" spans="5:31" ht="11.25" customHeight="1">
      <c r="E3" s="3" t="s">
        <v>13</v>
      </c>
      <c r="AE3" s="54"/>
    </row>
    <row r="4" spans="5:48" ht="12.75">
      <c r="E4" t="str">
        <f>Data!H10</f>
        <v>Wall Thickness  =</v>
      </c>
      <c r="G4" s="2">
        <f>Data!J10</f>
        <v>0.2</v>
      </c>
      <c r="K4">
        <f>G4</f>
        <v>0.2</v>
      </c>
      <c r="AC4" t="s">
        <v>12</v>
      </c>
      <c r="AM4" s="21"/>
      <c r="AN4" s="127" t="str">
        <f>Data!H21</f>
        <v>Partition Wall  Masonry</v>
      </c>
      <c r="AO4" s="127"/>
      <c r="AP4" s="23"/>
      <c r="AQ4" s="23"/>
      <c r="AR4" s="23"/>
      <c r="AS4" s="23"/>
      <c r="AT4" s="129"/>
      <c r="AU4" s="129" t="s">
        <v>252</v>
      </c>
      <c r="AV4" s="129" t="s">
        <v>46</v>
      </c>
    </row>
    <row r="5" spans="5:48" ht="12.75">
      <c r="E5" t="str">
        <f>Data!H11</f>
        <v>Wall / Ceiling Height</v>
      </c>
      <c r="G5" s="2">
        <f>Data!J11</f>
        <v>3</v>
      </c>
      <c r="O5" t="s">
        <v>14</v>
      </c>
      <c r="Q5">
        <f>(J15+K7)*I15</f>
        <v>11.549999999999999</v>
      </c>
      <c r="S5">
        <f>(K15+K7)*L15</f>
        <v>5.59</v>
      </c>
      <c r="U5">
        <f>(M15+K7)*N15</f>
        <v>4.58</v>
      </c>
      <c r="W5">
        <f>(O15+K7)*P15</f>
        <v>6.31</v>
      </c>
      <c r="Y5">
        <f>(Q15+K7)*R15</f>
        <v>13.28</v>
      </c>
      <c r="Z5">
        <f>IF(S15=0,0,(S15+K7)*T15)</f>
        <v>0</v>
      </c>
      <c r="AC5" s="3">
        <f>(Q5+S5+U5+W5+Y5+Z5)*K7*G7</f>
        <v>6.506324999999999</v>
      </c>
      <c r="AG5" s="3" t="str">
        <f>Data!B21</f>
        <v>Brick Masonry (First Floor)</v>
      </c>
      <c r="AM5" s="21"/>
      <c r="AN5" s="23"/>
      <c r="AO5" s="23"/>
      <c r="AP5" s="128" t="str">
        <f>Data!I22</f>
        <v>No</v>
      </c>
      <c r="AQ5" s="128" t="str">
        <f>Data!J22</f>
        <v>Length</v>
      </c>
      <c r="AR5" s="128" t="s">
        <v>252</v>
      </c>
      <c r="AS5" s="23" t="s">
        <v>46</v>
      </c>
      <c r="AT5" s="130" t="s">
        <v>197</v>
      </c>
      <c r="AU5" s="129">
        <f>AR6+AR7+AR8+AR9</f>
        <v>2.5860000000000003</v>
      </c>
      <c r="AV5" s="129">
        <f>AS6+AS7+AS8+AS9</f>
        <v>25.86</v>
      </c>
    </row>
    <row r="6" spans="7:48" ht="12.75">
      <c r="G6" s="1"/>
      <c r="I6" t="str">
        <f>Data!E3</f>
        <v>Width</v>
      </c>
      <c r="K6" t="s">
        <v>11</v>
      </c>
      <c r="O6" t="s">
        <v>15</v>
      </c>
      <c r="Q6">
        <f>J16+K8</f>
        <v>11.75</v>
      </c>
      <c r="S6">
        <f>K16+K8</f>
        <v>5.79</v>
      </c>
      <c r="U6">
        <f>M16+K8</f>
        <v>4.78</v>
      </c>
      <c r="W6">
        <f>O16+K8</f>
        <v>6.51</v>
      </c>
      <c r="Y6">
        <f>Q16+K8</f>
        <v>13.48</v>
      </c>
      <c r="Z6">
        <f>IF(S16=0,0,S16+K8)</f>
        <v>0</v>
      </c>
      <c r="AC6">
        <f>(Q6+S6+U6+W6+Y6+Z6)*K8*G8</f>
        <v>6.98115</v>
      </c>
      <c r="AG6" t="str">
        <f>Data!B22</f>
        <v>Long</v>
      </c>
      <c r="AI6" t="s">
        <v>29</v>
      </c>
      <c r="AK6" s="96" t="s">
        <v>12</v>
      </c>
      <c r="AM6" s="21"/>
      <c r="AN6" s="23">
        <f>Data!G23</f>
        <v>1</v>
      </c>
      <c r="AO6" s="23" t="str">
        <f>Data!H23</f>
        <v>G.F</v>
      </c>
      <c r="AP6" s="128">
        <f>Data!I23</f>
        <v>1</v>
      </c>
      <c r="AQ6" s="128">
        <f>Data!J23</f>
        <v>3</v>
      </c>
      <c r="AR6" s="23">
        <f aca="true" t="shared" si="0" ref="AR6:AR12">AQ6*AP6*AF7*AD7</f>
        <v>0.9</v>
      </c>
      <c r="AS6" s="23">
        <f>AQ6*AP6*AF7</f>
        <v>9</v>
      </c>
      <c r="AT6" s="130" t="s">
        <v>198</v>
      </c>
      <c r="AU6" s="129">
        <f>AR10+AR11+AR12</f>
        <v>1.5</v>
      </c>
      <c r="AV6" s="129">
        <f>AS10+AS11+AS12</f>
        <v>15</v>
      </c>
    </row>
    <row r="7" spans="5:45" ht="12.75">
      <c r="E7" t="str">
        <f>Data!C5</f>
        <v>H 1</v>
      </c>
      <c r="G7" s="2">
        <f>Data!D7</f>
        <v>0.45</v>
      </c>
      <c r="I7">
        <f>Data!E7</f>
        <v>0.35</v>
      </c>
      <c r="K7">
        <f>Data!E7</f>
        <v>0.35</v>
      </c>
      <c r="L7" s="3">
        <v>0.44</v>
      </c>
      <c r="O7" t="s">
        <v>16</v>
      </c>
      <c r="Q7">
        <f>J17+K9</f>
        <v>11.95</v>
      </c>
      <c r="S7">
        <f>K17+K9</f>
        <v>5.99</v>
      </c>
      <c r="U7">
        <f>M17+K9</f>
        <v>4.98</v>
      </c>
      <c r="W7">
        <f>O17+K9</f>
        <v>6.71</v>
      </c>
      <c r="Y7">
        <f>Q17+K9</f>
        <v>13.68</v>
      </c>
      <c r="Z7">
        <f>IF(S17=0,0,S17+K9)</f>
        <v>0</v>
      </c>
      <c r="AC7">
        <f>(Q7+S7+U7+W7+Y7+Z7)*K9*G9</f>
        <v>9.74475</v>
      </c>
      <c r="AD7">
        <v>0.1</v>
      </c>
      <c r="AE7">
        <f>G4</f>
        <v>0.2</v>
      </c>
      <c r="AF7">
        <f>G5</f>
        <v>3</v>
      </c>
      <c r="AH7">
        <f>Data!C24</f>
        <v>11.07</v>
      </c>
      <c r="AI7">
        <f>Data!B24</f>
        <v>2</v>
      </c>
      <c r="AK7" s="96">
        <f>IF(AH7=0,0,(((AH7-AE7)*AE7*AF7))*AI7)</f>
        <v>13.044000000000002</v>
      </c>
      <c r="AM7" s="21"/>
      <c r="AN7" s="23">
        <f>Data!G24</f>
        <v>2</v>
      </c>
      <c r="AO7" s="23"/>
      <c r="AP7" s="128">
        <f>Data!I24</f>
        <v>1</v>
      </c>
      <c r="AQ7" s="128">
        <f>Data!J24</f>
        <v>1.6</v>
      </c>
      <c r="AR7" s="23">
        <f t="shared" si="0"/>
        <v>0.4800000000000001</v>
      </c>
      <c r="AS7" s="23">
        <f aca="true" t="shared" si="1" ref="AS7:AS12">AQ7*AP7*AF8</f>
        <v>4.800000000000001</v>
      </c>
    </row>
    <row r="8" spans="5:54" ht="12.75">
      <c r="E8" t="str">
        <f>Data!C6</f>
        <v>H 2</v>
      </c>
      <c r="G8" s="2">
        <f>Data!D6</f>
        <v>0.3</v>
      </c>
      <c r="I8">
        <f>Data!E6</f>
        <v>0.55</v>
      </c>
      <c r="K8">
        <f>Data!E6</f>
        <v>0.55</v>
      </c>
      <c r="L8" s="3">
        <v>0.59</v>
      </c>
      <c r="O8" t="s">
        <v>17</v>
      </c>
      <c r="Q8">
        <f>J18+K10</f>
        <v>11.2</v>
      </c>
      <c r="S8">
        <f>K18+K10</f>
        <v>5.24</v>
      </c>
      <c r="U8">
        <f>M18+K10</f>
        <v>4.23</v>
      </c>
      <c r="W8">
        <f>O18+K10</f>
        <v>5.96</v>
      </c>
      <c r="Y8">
        <f>Q18+K10</f>
        <v>12.93</v>
      </c>
      <c r="Z8">
        <f>IF(S18=0,0,S18+K10)</f>
        <v>0</v>
      </c>
      <c r="AC8">
        <f>(Q8+S8+U8+W8+Y8+Z8)*K10*G10</f>
        <v>0</v>
      </c>
      <c r="AD8">
        <f>AD7</f>
        <v>0.1</v>
      </c>
      <c r="AE8">
        <f>AE7</f>
        <v>0.2</v>
      </c>
      <c r="AF8">
        <f>AF7</f>
        <v>3</v>
      </c>
      <c r="AH8">
        <f>Data!C25</f>
        <v>4.22</v>
      </c>
      <c r="AI8">
        <f>Data!B25</f>
        <v>1</v>
      </c>
      <c r="AK8" s="96">
        <f>IF(AH8=0,0,(((AH8-AE8)*AE8*AF8))*AI8)</f>
        <v>2.412</v>
      </c>
      <c r="AM8" s="21"/>
      <c r="AN8" s="23">
        <f>Data!G25</f>
        <v>3</v>
      </c>
      <c r="AO8" s="23"/>
      <c r="AP8" s="128">
        <f>Data!I25</f>
        <v>1</v>
      </c>
      <c r="AQ8" s="128">
        <f>Data!J25</f>
        <v>1.52</v>
      </c>
      <c r="AR8" s="23">
        <f t="shared" si="0"/>
        <v>0.45600000000000007</v>
      </c>
      <c r="AS8" s="23">
        <f t="shared" si="1"/>
        <v>4.5600000000000005</v>
      </c>
      <c r="BA8" s="396"/>
      <c r="BB8" s="397" t="s">
        <v>20</v>
      </c>
    </row>
    <row r="9" spans="5:54" ht="12.75">
      <c r="E9" t="str">
        <f>Data!C7</f>
        <v>H 3</v>
      </c>
      <c r="G9" s="2">
        <f>Data!D5</f>
        <v>0.3</v>
      </c>
      <c r="I9">
        <f>Data!E5</f>
        <v>0.75</v>
      </c>
      <c r="K9">
        <f>Data!E5</f>
        <v>0.75</v>
      </c>
      <c r="L9" s="3">
        <v>0.59</v>
      </c>
      <c r="AB9" t="s">
        <v>22</v>
      </c>
      <c r="AC9" s="6">
        <f>SUM(AC5:AC8)</f>
        <v>23.232225</v>
      </c>
      <c r="AD9">
        <f aca="true" t="shared" si="2" ref="AD9:AD21">AD8</f>
        <v>0.1</v>
      </c>
      <c r="AE9">
        <f aca="true" t="shared" si="3" ref="AE9:AE21">AE8</f>
        <v>0.2</v>
      </c>
      <c r="AF9">
        <f aca="true" t="shared" si="4" ref="AF9:AF21">AF8</f>
        <v>3</v>
      </c>
      <c r="AH9">
        <f>Data!C26</f>
        <v>5.16</v>
      </c>
      <c r="AI9">
        <f>Data!B26</f>
        <v>1</v>
      </c>
      <c r="AK9" s="96">
        <f>IF(AH9=0,0,(((AH9-AE9)*AE9*AF9))*AI9)</f>
        <v>2.976</v>
      </c>
      <c r="AM9" s="21"/>
      <c r="AN9" s="23">
        <f>Data!G26</f>
        <v>4</v>
      </c>
      <c r="AO9" s="23"/>
      <c r="AP9" s="128">
        <f>Data!I26</f>
        <v>1</v>
      </c>
      <c r="AQ9" s="128">
        <f>Data!J26</f>
        <v>2.5</v>
      </c>
      <c r="AR9" s="23">
        <f t="shared" si="0"/>
        <v>0.75</v>
      </c>
      <c r="AS9" s="23">
        <f t="shared" si="1"/>
        <v>7.5</v>
      </c>
      <c r="BA9" s="396" t="s">
        <v>386</v>
      </c>
      <c r="BB9" s="397">
        <f>SUM(BC20:BC22)</f>
        <v>0.4690700000000001</v>
      </c>
    </row>
    <row r="10" spans="5:54" ht="12.75">
      <c r="E10" t="str">
        <f>Data!C8</f>
        <v>H 4</v>
      </c>
      <c r="G10" s="2">
        <f>Data!D8</f>
        <v>0</v>
      </c>
      <c r="I10">
        <f>Data!E8</f>
        <v>0</v>
      </c>
      <c r="K10">
        <f>IF(G10=0,0,(K9+(I10*2)))</f>
        <v>0</v>
      </c>
      <c r="L10" s="3">
        <v>0</v>
      </c>
      <c r="O10" s="3"/>
      <c r="P10" s="3"/>
      <c r="Q10" s="3"/>
      <c r="R10" s="3"/>
      <c r="AD10">
        <f t="shared" si="2"/>
        <v>0.1</v>
      </c>
      <c r="AE10">
        <f t="shared" si="3"/>
        <v>0.2</v>
      </c>
      <c r="AF10">
        <f t="shared" si="4"/>
        <v>3</v>
      </c>
      <c r="AH10">
        <f>Data!C27</f>
        <v>8.08</v>
      </c>
      <c r="AI10">
        <f>Data!B27</f>
        <v>1</v>
      </c>
      <c r="AK10" s="96">
        <f>IF(AH10=0,0,(((AH10-AE10)*AE10*AF10))*AI10)</f>
        <v>4.728</v>
      </c>
      <c r="AM10" s="21"/>
      <c r="AN10" s="23">
        <f>Data!G27</f>
        <v>5</v>
      </c>
      <c r="AO10" s="23" t="str">
        <f>Data!H27</f>
        <v>F.F</v>
      </c>
      <c r="AP10" s="128">
        <f>Data!I27</f>
        <v>1</v>
      </c>
      <c r="AQ10" s="128">
        <f>Data!J27</f>
        <v>2</v>
      </c>
      <c r="AR10" s="23">
        <f t="shared" si="0"/>
        <v>0.6000000000000001</v>
      </c>
      <c r="AS10" s="23">
        <f t="shared" si="1"/>
        <v>6</v>
      </c>
      <c r="BA10" s="396" t="s">
        <v>387</v>
      </c>
      <c r="BB10" s="397">
        <f>SUM(BC23:BC26)</f>
        <v>0.8212400000000002</v>
      </c>
    </row>
    <row r="11" spans="5:54" ht="12.75">
      <c r="E11">
        <f>Data!B8</f>
        <v>0</v>
      </c>
      <c r="G11" s="212">
        <f>IF(Data!D4=0,0.0001,Data!D4)</f>
        <v>0.1</v>
      </c>
      <c r="H11" t="str">
        <f>Data!C8</f>
        <v>H 4</v>
      </c>
      <c r="I11">
        <f>Data!E4</f>
        <v>0.95</v>
      </c>
      <c r="K11" s="3">
        <f>Data!E4</f>
        <v>0.95</v>
      </c>
      <c r="L11" s="3">
        <v>0.59</v>
      </c>
      <c r="M11" t="s">
        <v>400</v>
      </c>
      <c r="O11" s="3" t="s">
        <v>18</v>
      </c>
      <c r="P11" s="3"/>
      <c r="Q11" s="31">
        <f>(J19+K11)*I19</f>
        <v>12.149999999999999</v>
      </c>
      <c r="R11" s="31"/>
      <c r="S11" s="31">
        <f>(K19+K11)*L19</f>
        <v>6.19</v>
      </c>
      <c r="T11" s="31"/>
      <c r="U11" s="31">
        <f>(M19+K11)*N19</f>
        <v>5.180000000000001</v>
      </c>
      <c r="V11" s="31"/>
      <c r="W11" s="31">
        <f>(O19+K11)*P19</f>
        <v>6.91</v>
      </c>
      <c r="X11" s="31"/>
      <c r="Y11" s="31">
        <f>(Q19+K11)*R19</f>
        <v>13.879999999999999</v>
      </c>
      <c r="Z11" s="31">
        <f>IF(S19=0,0,(S19+K11)*T19)</f>
        <v>0</v>
      </c>
      <c r="AB11" t="s">
        <v>23</v>
      </c>
      <c r="AC11" s="7">
        <f>(Q11+S11+U11+W11+Y11)*K11*G11</f>
        <v>4.20945</v>
      </c>
      <c r="AD11">
        <f t="shared" si="2"/>
        <v>0.1</v>
      </c>
      <c r="AE11">
        <f t="shared" si="3"/>
        <v>0.2</v>
      </c>
      <c r="AF11">
        <f t="shared" si="4"/>
        <v>3</v>
      </c>
      <c r="AH11">
        <f>Data!C28</f>
        <v>0</v>
      </c>
      <c r="AI11">
        <f>Data!B28</f>
        <v>0</v>
      </c>
      <c r="AK11" s="96">
        <f>IF(AH11=0,0,(((AH11-AE11)*AE11*AF11))*AI11)</f>
        <v>0</v>
      </c>
      <c r="AM11" s="21"/>
      <c r="AN11" s="23">
        <f>Data!G28</f>
        <v>6</v>
      </c>
      <c r="AO11" s="23"/>
      <c r="AP11" s="128">
        <f>Data!I28</f>
        <v>2</v>
      </c>
      <c r="AQ11" s="128">
        <f>Data!J28</f>
        <v>1.5</v>
      </c>
      <c r="AR11" s="23">
        <f t="shared" si="0"/>
        <v>0.9</v>
      </c>
      <c r="AS11" s="23">
        <f t="shared" si="1"/>
        <v>9</v>
      </c>
      <c r="BA11" s="396" t="s">
        <v>159</v>
      </c>
      <c r="BB11" s="397">
        <f>SUM(BC27:BC28)</f>
        <v>0.06916000000000001</v>
      </c>
    </row>
    <row r="12" spans="7:54" ht="12.75">
      <c r="G12" s="30" t="s">
        <v>126</v>
      </c>
      <c r="H12" s="30"/>
      <c r="I12" s="30">
        <f>G8+G9+G10+G11</f>
        <v>0.7</v>
      </c>
      <c r="AD12">
        <f t="shared" si="2"/>
        <v>0.1</v>
      </c>
      <c r="AE12">
        <f t="shared" si="3"/>
        <v>0.2</v>
      </c>
      <c r="AF12">
        <f t="shared" si="4"/>
        <v>3</v>
      </c>
      <c r="AI12" t="s">
        <v>246</v>
      </c>
      <c r="AK12" s="96">
        <f>SUM(AK7:AK11)</f>
        <v>23.160000000000004</v>
      </c>
      <c r="AM12" s="21"/>
      <c r="AN12" s="23">
        <f>Data!G29</f>
        <v>7</v>
      </c>
      <c r="AO12" s="23"/>
      <c r="AP12" s="128">
        <f>Data!I29</f>
        <v>0</v>
      </c>
      <c r="AQ12" s="128">
        <f>Data!J29</f>
        <v>0</v>
      </c>
      <c r="AR12" s="23">
        <f t="shared" si="0"/>
        <v>0</v>
      </c>
      <c r="AS12" s="23">
        <f t="shared" si="1"/>
        <v>0</v>
      </c>
      <c r="BA12" s="396"/>
      <c r="BB12" s="397">
        <f>SUM(BB9:BB11)</f>
        <v>1.3594700000000004</v>
      </c>
    </row>
    <row r="13" spans="5:45" ht="12.75">
      <c r="E13" s="3" t="s">
        <v>2</v>
      </c>
      <c r="G13" s="30" t="s">
        <v>127</v>
      </c>
      <c r="I13" s="30">
        <f>(Z11+Y11+W11+U11+S11+Q11+AB28+AA28+Z28+Y28+W28+U28+S28+Q28)*K11*I12</f>
        <v>52.10274999999999</v>
      </c>
      <c r="M13" s="3" t="s">
        <v>21</v>
      </c>
      <c r="N13" s="3"/>
      <c r="Q13">
        <f>(J15+K4)*I15</f>
        <v>11.399999999999999</v>
      </c>
      <c r="S13">
        <f>(K15+K4)*L15</f>
        <v>5.44</v>
      </c>
      <c r="U13">
        <f>(M15+K4)*N15</f>
        <v>4.430000000000001</v>
      </c>
      <c r="W13">
        <f>(O15+K4)*P15</f>
        <v>6.16</v>
      </c>
      <c r="Y13">
        <f>(Q15+K4)*R15</f>
        <v>13.129999999999999</v>
      </c>
      <c r="Z13">
        <f>IF(S15=0,0,(S15+K4)*T15)</f>
        <v>0</v>
      </c>
      <c r="AB13" t="s">
        <v>24</v>
      </c>
      <c r="AC13" s="3">
        <f>(Q13+S13+U13+W13+Y13+Z13)*K4*G5</f>
        <v>24.336</v>
      </c>
      <c r="AD13">
        <f t="shared" si="2"/>
        <v>0.1</v>
      </c>
      <c r="AE13">
        <f t="shared" si="3"/>
        <v>0.2</v>
      </c>
      <c r="AF13">
        <f t="shared" si="4"/>
        <v>3</v>
      </c>
      <c r="AK13" s="96"/>
      <c r="AM13" s="21"/>
      <c r="AN13" s="23"/>
      <c r="AO13" s="23"/>
      <c r="AP13" s="128"/>
      <c r="AQ13" s="128"/>
      <c r="AR13" s="127">
        <f>SUM(AR6:AR12)</f>
        <v>4.086</v>
      </c>
      <c r="AS13" s="127">
        <f>SUM(AS6:AS12)</f>
        <v>40.86</v>
      </c>
    </row>
    <row r="14" spans="5:44" ht="12.75">
      <c r="E14" t="s">
        <v>9</v>
      </c>
      <c r="G14" t="str">
        <f>Data!D13</f>
        <v>No</v>
      </c>
      <c r="AC14" t="s">
        <v>197</v>
      </c>
      <c r="AD14">
        <f t="shared" si="2"/>
        <v>0.1</v>
      </c>
      <c r="AE14">
        <f t="shared" si="3"/>
        <v>0.2</v>
      </c>
      <c r="AF14">
        <f t="shared" si="4"/>
        <v>3</v>
      </c>
      <c r="AG14" t="str">
        <f>Data!E22</f>
        <v>Cross</v>
      </c>
      <c r="AK14" s="96"/>
      <c r="AR14" t="s">
        <v>259</v>
      </c>
    </row>
    <row r="15" spans="4:37" ht="12.75">
      <c r="D15">
        <v>1</v>
      </c>
      <c r="E15" t="str">
        <f>Data!B14</f>
        <v> Wall 01</v>
      </c>
      <c r="G15">
        <f>Data!D14</f>
        <v>1</v>
      </c>
      <c r="H15" s="2">
        <f>Data!E14</f>
        <v>11.2</v>
      </c>
      <c r="I15">
        <f>G15</f>
        <v>1</v>
      </c>
      <c r="J15">
        <f>H15</f>
        <v>11.2</v>
      </c>
      <c r="K15">
        <f>H16</f>
        <v>5.24</v>
      </c>
      <c r="L15">
        <f>G16</f>
        <v>1</v>
      </c>
      <c r="M15">
        <f>H17</f>
        <v>4.23</v>
      </c>
      <c r="N15">
        <f>G17</f>
        <v>1</v>
      </c>
      <c r="O15">
        <f>H18</f>
        <v>5.96</v>
      </c>
      <c r="P15">
        <f>G18</f>
        <v>1</v>
      </c>
      <c r="Q15">
        <f>H19</f>
        <v>12.93</v>
      </c>
      <c r="R15">
        <f>G19</f>
        <v>1</v>
      </c>
      <c r="S15">
        <f>H20</f>
        <v>0</v>
      </c>
      <c r="T15">
        <f>G20</f>
        <v>0</v>
      </c>
      <c r="AD15">
        <f t="shared" si="2"/>
        <v>0.1</v>
      </c>
      <c r="AE15">
        <f t="shared" si="3"/>
        <v>0.2</v>
      </c>
      <c r="AF15">
        <f t="shared" si="4"/>
        <v>3</v>
      </c>
      <c r="AH15">
        <f>Data!F24</f>
        <v>6</v>
      </c>
      <c r="AI15">
        <f>Data!E24</f>
        <v>1</v>
      </c>
      <c r="AK15" s="96">
        <f>IF(AH15=0,0,(((AH15-AE15)*AE15*AF15))*AI15)</f>
        <v>3.4799999999999995</v>
      </c>
    </row>
    <row r="16" spans="1:37" ht="12.75">
      <c r="A16" s="105" t="s">
        <v>301</v>
      </c>
      <c r="D16">
        <v>2</v>
      </c>
      <c r="E16" t="str">
        <f>Data!B15</f>
        <v> Wall 02 </v>
      </c>
      <c r="G16">
        <f>Data!D15</f>
        <v>1</v>
      </c>
      <c r="H16" s="2">
        <f>Data!E15</f>
        <v>5.24</v>
      </c>
      <c r="I16">
        <f>I15</f>
        <v>1</v>
      </c>
      <c r="J16">
        <f aca="true" t="shared" si="5" ref="J16:S20">J15</f>
        <v>11.2</v>
      </c>
      <c r="K16">
        <f t="shared" si="5"/>
        <v>5.24</v>
      </c>
      <c r="L16">
        <f>L15</f>
        <v>1</v>
      </c>
      <c r="M16">
        <f t="shared" si="5"/>
        <v>4.23</v>
      </c>
      <c r="N16">
        <f>N15</f>
        <v>1</v>
      </c>
      <c r="O16">
        <f t="shared" si="5"/>
        <v>5.96</v>
      </c>
      <c r="P16">
        <f>P15</f>
        <v>1</v>
      </c>
      <c r="Q16">
        <f t="shared" si="5"/>
        <v>12.93</v>
      </c>
      <c r="R16">
        <f>R15</f>
        <v>1</v>
      </c>
      <c r="S16">
        <f t="shared" si="5"/>
        <v>0</v>
      </c>
      <c r="T16">
        <f>T15</f>
        <v>0</v>
      </c>
      <c r="Y16" s="211" t="s">
        <v>283</v>
      </c>
      <c r="Z16" s="109">
        <f>((AC13+AC29)/G5)*0.04</f>
        <v>0.6568</v>
      </c>
      <c r="AD16">
        <f t="shared" si="2"/>
        <v>0.1</v>
      </c>
      <c r="AE16">
        <f t="shared" si="3"/>
        <v>0.2</v>
      </c>
      <c r="AF16">
        <f t="shared" si="4"/>
        <v>3</v>
      </c>
      <c r="AH16">
        <f>Data!F25</f>
        <v>4.17</v>
      </c>
      <c r="AI16">
        <f>Data!E25</f>
        <v>3</v>
      </c>
      <c r="AK16" s="96">
        <f>IF(AH16=0,0,(((AH16-AE16)*AE16*AF16))*AI16)</f>
        <v>7.146000000000001</v>
      </c>
    </row>
    <row r="17" spans="4:62" ht="12.75">
      <c r="D17">
        <v>3</v>
      </c>
      <c r="E17" t="str">
        <f>Data!B16</f>
        <v> Wall 03 </v>
      </c>
      <c r="G17">
        <f>Data!D16</f>
        <v>1</v>
      </c>
      <c r="H17" s="2">
        <f>Data!E16</f>
        <v>4.23</v>
      </c>
      <c r="I17">
        <f>I16</f>
        <v>1</v>
      </c>
      <c r="J17">
        <f t="shared" si="5"/>
        <v>11.2</v>
      </c>
      <c r="K17">
        <f t="shared" si="5"/>
        <v>5.24</v>
      </c>
      <c r="L17">
        <f>L16</f>
        <v>1</v>
      </c>
      <c r="M17">
        <f t="shared" si="5"/>
        <v>4.23</v>
      </c>
      <c r="N17">
        <f>N16</f>
        <v>1</v>
      </c>
      <c r="O17">
        <f t="shared" si="5"/>
        <v>5.96</v>
      </c>
      <c r="P17">
        <f>P16</f>
        <v>1</v>
      </c>
      <c r="Q17">
        <f t="shared" si="5"/>
        <v>12.93</v>
      </c>
      <c r="R17">
        <f>R16</f>
        <v>1</v>
      </c>
      <c r="S17">
        <f t="shared" si="5"/>
        <v>0</v>
      </c>
      <c r="T17">
        <f>T16</f>
        <v>0</v>
      </c>
      <c r="Y17" s="109"/>
      <c r="Z17" s="109"/>
      <c r="AD17">
        <f t="shared" si="2"/>
        <v>0.1</v>
      </c>
      <c r="AE17">
        <f t="shared" si="3"/>
        <v>0.2</v>
      </c>
      <c r="AF17">
        <f t="shared" si="4"/>
        <v>3</v>
      </c>
      <c r="AH17">
        <f>Data!F26</f>
        <v>0</v>
      </c>
      <c r="AI17">
        <f>Data!E26</f>
        <v>0</v>
      </c>
      <c r="AK17" s="96">
        <f>IF(AH17=0,0,(((AH17-AE17)*AE17*AF17))*AI17)</f>
        <v>0</v>
      </c>
      <c r="AS17" s="7" t="s">
        <v>251</v>
      </c>
      <c r="AT17" s="122"/>
      <c r="AU17" s="122"/>
      <c r="AY17" s="63" t="s">
        <v>80</v>
      </c>
      <c r="AZ17" s="63" t="s">
        <v>11</v>
      </c>
      <c r="BA17" s="63" t="s">
        <v>147</v>
      </c>
      <c r="BB17"/>
      <c r="BC17"/>
      <c r="BH17" s="103"/>
      <c r="BJ17" s="103"/>
    </row>
    <row r="18" spans="4:62" ht="12.75">
      <c r="D18">
        <v>4</v>
      </c>
      <c r="E18" t="str">
        <f>Data!B17</f>
        <v> Wall 04 </v>
      </c>
      <c r="G18">
        <f>Data!D17</f>
        <v>1</v>
      </c>
      <c r="H18" s="2">
        <f>Data!E17</f>
        <v>5.96</v>
      </c>
      <c r="I18">
        <f>I17</f>
        <v>1</v>
      </c>
      <c r="J18">
        <f t="shared" si="5"/>
        <v>11.2</v>
      </c>
      <c r="K18">
        <f t="shared" si="5"/>
        <v>5.24</v>
      </c>
      <c r="L18">
        <f>L17</f>
        <v>1</v>
      </c>
      <c r="M18">
        <f t="shared" si="5"/>
        <v>4.23</v>
      </c>
      <c r="N18">
        <f>N17</f>
        <v>1</v>
      </c>
      <c r="O18">
        <f t="shared" si="5"/>
        <v>5.96</v>
      </c>
      <c r="P18">
        <f>P17</f>
        <v>1</v>
      </c>
      <c r="Q18">
        <f t="shared" si="5"/>
        <v>12.93</v>
      </c>
      <c r="R18">
        <f>R17</f>
        <v>1</v>
      </c>
      <c r="S18">
        <f t="shared" si="5"/>
        <v>0</v>
      </c>
      <c r="T18">
        <f>T17</f>
        <v>0</v>
      </c>
      <c r="AD18">
        <f t="shared" si="2"/>
        <v>0.1</v>
      </c>
      <c r="AE18">
        <f t="shared" si="3"/>
        <v>0.2</v>
      </c>
      <c r="AF18">
        <f t="shared" si="4"/>
        <v>3</v>
      </c>
      <c r="AH18">
        <f>Data!F27</f>
        <v>0</v>
      </c>
      <c r="AI18">
        <f>Data!E27</f>
        <v>0</v>
      </c>
      <c r="AK18" s="96">
        <f>IF(AH18=0,0,(((AH18-AE18)*AE18*AF18))*AI18)</f>
        <v>0</v>
      </c>
      <c r="AO18" s="3" t="str">
        <f>Data!B29</f>
        <v>Wood Work</v>
      </c>
      <c r="AS18" s="124" t="s">
        <v>197</v>
      </c>
      <c r="AT18" s="124" t="s">
        <v>198</v>
      </c>
      <c r="AU18" s="122" t="s">
        <v>47</v>
      </c>
      <c r="AV18" s="125" t="s">
        <v>197</v>
      </c>
      <c r="AW18" s="125" t="s">
        <v>198</v>
      </c>
      <c r="AX18" s="126"/>
      <c r="AY18" s="40">
        <v>0.1</v>
      </c>
      <c r="AZ18" s="40">
        <v>0.07</v>
      </c>
      <c r="BA18" s="64">
        <f>AY18*AZ18</f>
        <v>0.007000000000000001</v>
      </c>
      <c r="BB18"/>
      <c r="BC18"/>
      <c r="BH18" s="103"/>
      <c r="BJ18" s="103"/>
    </row>
    <row r="19" spans="4:63" ht="12.75">
      <c r="D19">
        <v>5</v>
      </c>
      <c r="E19" t="str">
        <f>Data!B18</f>
        <v> Wall 05 </v>
      </c>
      <c r="G19">
        <f>Data!D18</f>
        <v>1</v>
      </c>
      <c r="H19" s="2">
        <f>Data!E18</f>
        <v>12.93</v>
      </c>
      <c r="I19">
        <f>I18</f>
        <v>1</v>
      </c>
      <c r="J19">
        <f t="shared" si="5"/>
        <v>11.2</v>
      </c>
      <c r="K19">
        <f t="shared" si="5"/>
        <v>5.24</v>
      </c>
      <c r="L19">
        <f>L18</f>
        <v>1</v>
      </c>
      <c r="M19">
        <f t="shared" si="5"/>
        <v>4.23</v>
      </c>
      <c r="N19">
        <f>N18</f>
        <v>1</v>
      </c>
      <c r="O19">
        <f t="shared" si="5"/>
        <v>5.96</v>
      </c>
      <c r="P19">
        <f>P18</f>
        <v>1</v>
      </c>
      <c r="Q19">
        <f t="shared" si="5"/>
        <v>12.93</v>
      </c>
      <c r="R19">
        <f>R18</f>
        <v>1</v>
      </c>
      <c r="S19">
        <f t="shared" si="5"/>
        <v>0</v>
      </c>
      <c r="T19">
        <f>T18</f>
        <v>0</v>
      </c>
      <c r="AD19">
        <f t="shared" si="2"/>
        <v>0.1</v>
      </c>
      <c r="AE19">
        <f t="shared" si="3"/>
        <v>0.2</v>
      </c>
      <c r="AF19">
        <f t="shared" si="4"/>
        <v>3</v>
      </c>
      <c r="AH19">
        <f>Data!F28</f>
        <v>0</v>
      </c>
      <c r="AI19">
        <f>Data!E28</f>
        <v>0</v>
      </c>
      <c r="AK19" s="96">
        <f>IF(AH19=0,0,(((AH19-AE19)*AE19*AF19))*AI19)</f>
        <v>0</v>
      </c>
      <c r="AN19" s="13" t="str">
        <f>Data!C30</f>
        <v>GF</v>
      </c>
      <c r="AO19" s="13" t="str">
        <f>Data!D30</f>
        <v>FF</v>
      </c>
      <c r="AP19" s="13" t="s">
        <v>29</v>
      </c>
      <c r="AQ19" s="13" t="str">
        <f>Data!E30</f>
        <v>H</v>
      </c>
      <c r="AR19" s="13" t="str">
        <f>Data!F30</f>
        <v>B</v>
      </c>
      <c r="AS19" s="124" t="s">
        <v>88</v>
      </c>
      <c r="AT19" s="124" t="s">
        <v>88</v>
      </c>
      <c r="AU19" s="124" t="s">
        <v>88</v>
      </c>
      <c r="AV19" s="125" t="s">
        <v>46</v>
      </c>
      <c r="AW19" s="125" t="s">
        <v>46</v>
      </c>
      <c r="AX19" s="125" t="s">
        <v>46</v>
      </c>
      <c r="BA19" t="s">
        <v>149</v>
      </c>
      <c r="BB19"/>
      <c r="BC19" s="13" t="s">
        <v>145</v>
      </c>
      <c r="BE19" t="s">
        <v>153</v>
      </c>
      <c r="BF19" t="s">
        <v>4</v>
      </c>
      <c r="BG19" t="s">
        <v>46</v>
      </c>
      <c r="BH19" s="13" t="s">
        <v>239</v>
      </c>
      <c r="BI19" s="144" t="s">
        <v>240</v>
      </c>
      <c r="BK19" t="s">
        <v>310</v>
      </c>
    </row>
    <row r="20" spans="4:61" ht="12.75">
      <c r="D20">
        <v>6</v>
      </c>
      <c r="E20" t="str">
        <f>Data!B19</f>
        <v> Wall 06 </v>
      </c>
      <c r="G20">
        <f>Data!D19</f>
        <v>0</v>
      </c>
      <c r="H20" s="2">
        <f>Data!E19</f>
        <v>0</v>
      </c>
      <c r="I20">
        <f>I19</f>
        <v>1</v>
      </c>
      <c r="J20">
        <f>J19</f>
        <v>11.2</v>
      </c>
      <c r="K20">
        <f t="shared" si="5"/>
        <v>5.24</v>
      </c>
      <c r="L20">
        <f>L19</f>
        <v>1</v>
      </c>
      <c r="M20">
        <f t="shared" si="5"/>
        <v>4.23</v>
      </c>
      <c r="N20">
        <f>N19</f>
        <v>1</v>
      </c>
      <c r="O20">
        <f t="shared" si="5"/>
        <v>5.96</v>
      </c>
      <c r="P20">
        <f>P19</f>
        <v>1</v>
      </c>
      <c r="Q20">
        <f t="shared" si="5"/>
        <v>12.93</v>
      </c>
      <c r="R20">
        <f>R19</f>
        <v>1</v>
      </c>
      <c r="S20">
        <f t="shared" si="5"/>
        <v>0</v>
      </c>
      <c r="T20">
        <f>T19</f>
        <v>0</v>
      </c>
      <c r="AD20">
        <f t="shared" si="2"/>
        <v>0.1</v>
      </c>
      <c r="AE20">
        <f t="shared" si="3"/>
        <v>0.2</v>
      </c>
      <c r="AF20">
        <f t="shared" si="4"/>
        <v>3</v>
      </c>
      <c r="AI20" t="s">
        <v>245</v>
      </c>
      <c r="AK20" s="96">
        <f>SUM(AK15:AK19)</f>
        <v>10.626000000000001</v>
      </c>
      <c r="AM20" s="328" t="str">
        <f>Data!B31</f>
        <v>D1</v>
      </c>
      <c r="AN20">
        <f>Data!C31</f>
        <v>2</v>
      </c>
      <c r="AO20">
        <f>Data!D31</f>
        <v>0</v>
      </c>
      <c r="AP20" s="10">
        <f>AN20+AO20</f>
        <v>2</v>
      </c>
      <c r="AQ20" s="10">
        <f>Data!E31</f>
        <v>2.1</v>
      </c>
      <c r="AR20" s="60">
        <f>Data!F31</f>
        <v>1</v>
      </c>
      <c r="AS20">
        <f>AR20*AN20</f>
        <v>2</v>
      </c>
      <c r="AT20">
        <f>AR20*AO20</f>
        <v>0</v>
      </c>
      <c r="AU20" s="10">
        <f>AP20*AR20</f>
        <v>2</v>
      </c>
      <c r="AV20">
        <f>AR20*AQ20*AN20</f>
        <v>4.2</v>
      </c>
      <c r="AW20">
        <f>AR20*AQ20*AO20</f>
        <v>0</v>
      </c>
      <c r="AX20" s="10">
        <f aca="true" t="shared" si="6" ref="AX20:AX28">AP20*AQ20*AR20</f>
        <v>4.2</v>
      </c>
      <c r="AY20" s="10">
        <f>BA18</f>
        <v>0.007000000000000001</v>
      </c>
      <c r="AZ20" s="10">
        <f>AZ18</f>
        <v>0.07</v>
      </c>
      <c r="BA20" s="10">
        <v>2</v>
      </c>
      <c r="BB20" s="10"/>
      <c r="BC20" s="10">
        <f>(((AR20+AZ20)*AY20)*AP20)+(((AQ20*BA20)*AY20)*AP20)</f>
        <v>0.07378000000000001</v>
      </c>
      <c r="BD20" s="10">
        <f>(AZ20*2)-0.04</f>
        <v>0.1</v>
      </c>
      <c r="BE20" s="10">
        <f>IF(AP20=0,0,AR20-AZ20+0.02)</f>
        <v>0.95</v>
      </c>
      <c r="BF20" s="10">
        <f>IF(AP20=0,0,AQ20-AZ20+0.02)</f>
        <v>2.0500000000000003</v>
      </c>
      <c r="BG20" s="10">
        <f aca="true" t="shared" si="7" ref="BG20:BG28">BE20*BF20*AP20</f>
        <v>3.8950000000000005</v>
      </c>
      <c r="BH20" s="13"/>
      <c r="BI20" s="103"/>
    </row>
    <row r="21" spans="8:69" ht="12.75">
      <c r="H21" s="1"/>
      <c r="AD21">
        <f t="shared" si="2"/>
        <v>0.1</v>
      </c>
      <c r="AE21">
        <f t="shared" si="3"/>
        <v>0.2</v>
      </c>
      <c r="AF21">
        <f t="shared" si="4"/>
        <v>3</v>
      </c>
      <c r="AK21" s="3">
        <f>AK12+AK20</f>
        <v>33.786</v>
      </c>
      <c r="AM21" s="328" t="str">
        <f>Data!B32</f>
        <v>D2</v>
      </c>
      <c r="AN21">
        <f>Data!C32</f>
        <v>4</v>
      </c>
      <c r="AO21">
        <f>Data!D32</f>
        <v>3</v>
      </c>
      <c r="AP21" s="10">
        <f aca="true" t="shared" si="8" ref="AP21:AP28">AN21+AO21</f>
        <v>7</v>
      </c>
      <c r="AQ21" s="10">
        <f>Data!E32</f>
        <v>2.1</v>
      </c>
      <c r="AR21" s="60">
        <f>Data!F32</f>
        <v>0.9</v>
      </c>
      <c r="AS21">
        <f>AR21*AN21</f>
        <v>3.6</v>
      </c>
      <c r="AT21">
        <f aca="true" t="shared" si="9" ref="AT21:AT28">AR21*AO21</f>
        <v>2.7</v>
      </c>
      <c r="AU21" s="10">
        <f aca="true" t="shared" si="10" ref="AU21:AU28">AP21*AR21</f>
        <v>6.3</v>
      </c>
      <c r="AV21">
        <f>AR21*AQ21*AN21</f>
        <v>7.5600000000000005</v>
      </c>
      <c r="AW21">
        <f aca="true" t="shared" si="11" ref="AW21:AW28">AR21*AQ21*AO21</f>
        <v>5.67</v>
      </c>
      <c r="AX21" s="10">
        <f t="shared" si="6"/>
        <v>13.23</v>
      </c>
      <c r="AY21" s="10">
        <f>AY20</f>
        <v>0.007000000000000001</v>
      </c>
      <c r="AZ21" s="10">
        <f>AZ20</f>
        <v>0.07</v>
      </c>
      <c r="BA21" s="10">
        <v>2</v>
      </c>
      <c r="BB21" s="10"/>
      <c r="BC21" s="10">
        <f aca="true" t="shared" si="12" ref="BC21:BC28">(((AR21+AZ21)*AY21)*AP21)+(((AQ21*BA21)*AY21)*AP21)</f>
        <v>0.25333000000000006</v>
      </c>
      <c r="BD21" s="10">
        <f aca="true" t="shared" si="13" ref="BD21:BD28">BD20</f>
        <v>0.1</v>
      </c>
      <c r="BE21" s="10">
        <f>IF(AP21=0,0,AR21-AZ21+0.01)</f>
        <v>0.8400000000000001</v>
      </c>
      <c r="BF21" s="10">
        <f>IF(AP21=0,0,AQ21-AZ21+0.02)</f>
        <v>2.0500000000000003</v>
      </c>
      <c r="BG21" s="10">
        <f t="shared" si="7"/>
        <v>12.054000000000002</v>
      </c>
      <c r="BH21" s="13"/>
      <c r="BI21" s="103"/>
      <c r="BM21" s="13"/>
      <c r="BN21" s="331"/>
      <c r="BP21" s="216"/>
      <c r="BQ21">
        <f>BP21*2</f>
        <v>0</v>
      </c>
    </row>
    <row r="22" spans="5:68" ht="12.75">
      <c r="E22" t="s">
        <v>10</v>
      </c>
      <c r="H22" s="1"/>
      <c r="I22">
        <f>Data!R35</f>
        <v>0</v>
      </c>
      <c r="AG22" t="s">
        <v>77</v>
      </c>
      <c r="AJ22">
        <f>Data!O8</f>
        <v>48.9386</v>
      </c>
      <c r="AK22" t="s">
        <v>198</v>
      </c>
      <c r="AM22" s="328" t="str">
        <f>Data!B33</f>
        <v>D3</v>
      </c>
      <c r="AN22">
        <f>Data!C33</f>
        <v>2</v>
      </c>
      <c r="AO22">
        <f>Data!D33</f>
        <v>2</v>
      </c>
      <c r="AP22" s="10">
        <f t="shared" si="8"/>
        <v>4</v>
      </c>
      <c r="AQ22" s="10">
        <f>Data!E33</f>
        <v>2.1</v>
      </c>
      <c r="AR22" s="60">
        <f>Data!F33</f>
        <v>0.8</v>
      </c>
      <c r="AS22">
        <f aca="true" t="shared" si="14" ref="AS22:AS28">AR22*AN22</f>
        <v>1.6</v>
      </c>
      <c r="AT22">
        <f t="shared" si="9"/>
        <v>1.6</v>
      </c>
      <c r="AU22" s="10">
        <f t="shared" si="10"/>
        <v>3.2</v>
      </c>
      <c r="AV22">
        <f aca="true" t="shared" si="15" ref="AV22:AV28">AR22*AQ22*AN22</f>
        <v>3.3600000000000003</v>
      </c>
      <c r="AW22">
        <f t="shared" si="11"/>
        <v>3.3600000000000003</v>
      </c>
      <c r="AX22" s="10">
        <f t="shared" si="6"/>
        <v>6.720000000000001</v>
      </c>
      <c r="AY22" s="10">
        <f aca="true" t="shared" si="16" ref="AY22:AY28">AY21</f>
        <v>0.007000000000000001</v>
      </c>
      <c r="AZ22" s="10">
        <f aca="true" t="shared" si="17" ref="AZ22:AZ28">AZ21</f>
        <v>0.07</v>
      </c>
      <c r="BA22" s="10">
        <v>2</v>
      </c>
      <c r="BB22" s="10"/>
      <c r="BC22" s="10">
        <f t="shared" si="12"/>
        <v>0.14196000000000003</v>
      </c>
      <c r="BD22" s="10">
        <f t="shared" si="13"/>
        <v>0.1</v>
      </c>
      <c r="BE22" s="10">
        <f>IF(AP22=0,0,AR22-AZ22+0.01)</f>
        <v>0.74</v>
      </c>
      <c r="BF22" s="10">
        <f>IF(AP22=0,0,AQ22-AZ22+0.02)</f>
        <v>2.0500000000000003</v>
      </c>
      <c r="BG22" s="10">
        <f t="shared" si="7"/>
        <v>6.0680000000000005</v>
      </c>
      <c r="BH22" s="13"/>
      <c r="BI22" s="103"/>
      <c r="BM22" s="13"/>
      <c r="BP22" s="216"/>
    </row>
    <row r="23" spans="4:68" ht="12.75">
      <c r="D23">
        <v>1</v>
      </c>
      <c r="E23" t="str">
        <f>Data!H14</f>
        <v> Wall 01 </v>
      </c>
      <c r="G23" s="9">
        <f>Data!J14</f>
        <v>2</v>
      </c>
      <c r="H23" s="2">
        <f>Data!K14</f>
        <v>4.23</v>
      </c>
      <c r="I23" s="5" t="str">
        <f>Data!L14</f>
        <v>c</v>
      </c>
      <c r="K23">
        <f>IF(I23="f",0.5,1)</f>
        <v>1</v>
      </c>
      <c r="O23" t="s">
        <v>14</v>
      </c>
      <c r="Q23">
        <f>IF(K31=0,0,((K31-(K7*K23)))*L31)</f>
        <v>7.760000000000001</v>
      </c>
      <c r="S23">
        <f>IF(M31=0,0,((M31-(K7*K23)))*N31)</f>
        <v>6.76</v>
      </c>
      <c r="U23">
        <f>IF(O31=0,0,((O31-(K7*K23)))*P31)</f>
        <v>12</v>
      </c>
      <c r="W23">
        <f>IF(Q31=0,0,((Q31-K7*K23))*R31)</f>
        <v>1.88</v>
      </c>
      <c r="Y23">
        <f>IF(S31=0,0,((S31-K7*K23))*T31)</f>
        <v>11.64</v>
      </c>
      <c r="Z23">
        <f>IF(U31=0,0,((U31-K7*K23))*V31)</f>
        <v>0</v>
      </c>
      <c r="AA23">
        <f>IF(W31=0,0,((W31-K7*K23))*X31)</f>
        <v>0</v>
      </c>
      <c r="AB23">
        <f>IF(Y31=0,0,((Y31-K7*K23))*Z31)</f>
        <v>0</v>
      </c>
      <c r="AC23">
        <f>(Q23+S23+U23+W23+Y23+Z23+AA23+AB23)*K7*G7</f>
        <v>6.3063</v>
      </c>
      <c r="AE23" s="3">
        <f>AC13+AC29+AK20</f>
        <v>59.88600000000001</v>
      </c>
      <c r="AI23" t="s">
        <v>78</v>
      </c>
      <c r="AJ23" s="3">
        <f>AJ22*0.2*0.6</f>
        <v>5.872632</v>
      </c>
      <c r="AM23" s="329" t="str">
        <f>Data!B34</f>
        <v>W1</v>
      </c>
      <c r="AN23">
        <f>Data!C34</f>
        <v>3</v>
      </c>
      <c r="AO23">
        <f>Data!D34</f>
        <v>0</v>
      </c>
      <c r="AP23" s="10">
        <f t="shared" si="8"/>
        <v>3</v>
      </c>
      <c r="AQ23" s="9">
        <f>Data!E34</f>
        <v>1</v>
      </c>
      <c r="AR23" s="62">
        <f>Data!F34</f>
        <v>1</v>
      </c>
      <c r="AS23">
        <f t="shared" si="14"/>
        <v>3</v>
      </c>
      <c r="AT23">
        <f t="shared" si="9"/>
        <v>0</v>
      </c>
      <c r="AU23" s="9">
        <f t="shared" si="10"/>
        <v>3</v>
      </c>
      <c r="AV23">
        <f t="shared" si="15"/>
        <v>3</v>
      </c>
      <c r="AW23">
        <f t="shared" si="11"/>
        <v>0</v>
      </c>
      <c r="AX23" s="9">
        <f t="shared" si="6"/>
        <v>3</v>
      </c>
      <c r="AY23" s="9">
        <f t="shared" si="16"/>
        <v>0.007000000000000001</v>
      </c>
      <c r="AZ23" s="9">
        <f t="shared" si="17"/>
        <v>0.07</v>
      </c>
      <c r="BA23" s="9">
        <f aca="true" t="shared" si="18" ref="BA23:BA28">BH23+1</f>
        <v>3</v>
      </c>
      <c r="BB23" s="9"/>
      <c r="BC23" s="9">
        <f t="shared" si="12"/>
        <v>0.08547000000000002</v>
      </c>
      <c r="BD23" s="9">
        <f t="shared" si="13"/>
        <v>0.1</v>
      </c>
      <c r="BE23" s="6">
        <f aca="true" t="shared" si="19" ref="BE23:BE28">BH23*BI23</f>
        <v>0.8300000000000001</v>
      </c>
      <c r="BF23" s="9">
        <f aca="true" t="shared" si="20" ref="BF23:BF28">IF(AP23=0,0,AQ23-(2*AZ20)+0.02)</f>
        <v>0.88</v>
      </c>
      <c r="BG23" s="9">
        <f t="shared" si="7"/>
        <v>2.1912000000000003</v>
      </c>
      <c r="BH23" s="13">
        <f aca="true" t="shared" si="21" ref="BH23:BH28">BL23</f>
        <v>2</v>
      </c>
      <c r="BI23" s="110">
        <f aca="true" t="shared" si="22" ref="BI23:BI28">IF(AP23=0,0,((AR23-(BA23*AZ23))/BH23)+0.02)</f>
        <v>0.41500000000000004</v>
      </c>
      <c r="BK23">
        <f aca="true" t="shared" si="23" ref="BK23:BK28">AR23/0.43</f>
        <v>2.3255813953488373</v>
      </c>
      <c r="BL23">
        <f aca="true" t="shared" si="24" ref="BL23:BL28">ROUND(BK23,0)</f>
        <v>2</v>
      </c>
      <c r="BM23" s="13"/>
      <c r="BP23" s="216"/>
    </row>
    <row r="24" spans="4:68" ht="12.75">
      <c r="D24">
        <v>2</v>
      </c>
      <c r="E24" t="str">
        <f>Data!H15</f>
        <v> Wall 02 </v>
      </c>
      <c r="G24" s="9">
        <f>Data!J15</f>
        <v>2</v>
      </c>
      <c r="H24" s="2">
        <f>Data!K15</f>
        <v>3.73</v>
      </c>
      <c r="I24" s="5" t="str">
        <f>Data!L15</f>
        <v>c</v>
      </c>
      <c r="K24">
        <f aca="true" t="shared" si="25" ref="K24:K30">IF(I24="f",0.5,1)</f>
        <v>1</v>
      </c>
      <c r="O24" t="s">
        <v>15</v>
      </c>
      <c r="Q24">
        <f>IF(K32=0,0,((K32-(K8*K24)))*L32)</f>
        <v>7.360000000000001</v>
      </c>
      <c r="S24">
        <f>IF(M32=0,0,((M32-(K8*K24)))*N32)</f>
        <v>6.359999999999999</v>
      </c>
      <c r="U24">
        <f>IF(O32=0,0,((O32-(K8*K24)))*P32)</f>
        <v>11.6</v>
      </c>
      <c r="W24">
        <f>IF(Q32=0,0,((Q32-K8*K24))*R32)</f>
        <v>1.68</v>
      </c>
      <c r="Y24">
        <f>IF(S32=0,0,((S32-K8*K24))*T32)</f>
        <v>11.040000000000003</v>
      </c>
      <c r="Z24">
        <f>IF(U32=0,0,((U32-K8*K24))*V32)</f>
        <v>0</v>
      </c>
      <c r="AA24">
        <f>IF(W32=0,0,((W32-K8*K24))*X32)</f>
        <v>0</v>
      </c>
      <c r="AB24">
        <f>IF(Y32=0,0,(Y32-K8*K24))</f>
        <v>0</v>
      </c>
      <c r="AC24">
        <f>(Q24+S24+U24+W24+Y24+Z24+AA24+AB24)*K8*G8</f>
        <v>6.276600000000001</v>
      </c>
      <c r="AJ24" t="s">
        <v>198</v>
      </c>
      <c r="AM24" s="329" t="str">
        <f>Data!B35</f>
        <v>W2</v>
      </c>
      <c r="AN24">
        <f>Data!C35</f>
        <v>6</v>
      </c>
      <c r="AO24">
        <f>Data!D35</f>
        <v>4</v>
      </c>
      <c r="AP24" s="10">
        <f t="shared" si="8"/>
        <v>10</v>
      </c>
      <c r="AQ24" s="9">
        <f>Data!E35</f>
        <v>1.35</v>
      </c>
      <c r="AR24" s="62">
        <f>Data!F35</f>
        <v>1.8</v>
      </c>
      <c r="AS24">
        <f t="shared" si="14"/>
        <v>10.8</v>
      </c>
      <c r="AT24">
        <f t="shared" si="9"/>
        <v>7.2</v>
      </c>
      <c r="AU24" s="9">
        <f t="shared" si="10"/>
        <v>18</v>
      </c>
      <c r="AV24">
        <f>AR24*AQ24*AN24</f>
        <v>14.580000000000002</v>
      </c>
      <c r="AW24">
        <f>AR24*AQ24*AO24</f>
        <v>9.72</v>
      </c>
      <c r="AX24" s="123">
        <f t="shared" si="6"/>
        <v>24.3</v>
      </c>
      <c r="AY24" s="9">
        <f t="shared" si="16"/>
        <v>0.007000000000000001</v>
      </c>
      <c r="AZ24" s="9">
        <f t="shared" si="17"/>
        <v>0.07</v>
      </c>
      <c r="BA24" s="9">
        <f t="shared" si="18"/>
        <v>5</v>
      </c>
      <c r="BB24" s="9"/>
      <c r="BC24" s="9">
        <f t="shared" si="12"/>
        <v>0.6034000000000002</v>
      </c>
      <c r="BD24" s="9">
        <f t="shared" si="13"/>
        <v>0.1</v>
      </c>
      <c r="BE24" s="6">
        <f t="shared" si="19"/>
        <v>1.53</v>
      </c>
      <c r="BF24" s="9">
        <f t="shared" si="20"/>
        <v>1.23</v>
      </c>
      <c r="BG24" s="9">
        <f t="shared" si="7"/>
        <v>18.819</v>
      </c>
      <c r="BH24" s="13">
        <f t="shared" si="21"/>
        <v>4</v>
      </c>
      <c r="BI24" s="110">
        <f t="shared" si="22"/>
        <v>0.3825</v>
      </c>
      <c r="BK24">
        <f t="shared" si="23"/>
        <v>4.186046511627907</v>
      </c>
      <c r="BL24">
        <f t="shared" si="24"/>
        <v>4</v>
      </c>
      <c r="BM24" s="13"/>
      <c r="BP24" s="216"/>
    </row>
    <row r="25" spans="4:68" ht="12.75">
      <c r="D25">
        <v>3</v>
      </c>
      <c r="E25" t="str">
        <f>Data!H16</f>
        <v> Wall 03 </v>
      </c>
      <c r="G25" s="9">
        <f>Data!J16</f>
        <v>2</v>
      </c>
      <c r="H25" s="2">
        <f>Data!K16</f>
        <v>6.35</v>
      </c>
      <c r="I25" s="5" t="str">
        <f>Data!L16</f>
        <v>c</v>
      </c>
      <c r="K25">
        <f t="shared" si="25"/>
        <v>1</v>
      </c>
      <c r="O25" t="s">
        <v>16</v>
      </c>
      <c r="Q25">
        <f>IF(K33=0,0,((K33-(K9*K25)))*L33)</f>
        <v>6.960000000000001</v>
      </c>
      <c r="S25">
        <f>IF(M33=0,0,((M33-(K9*K25)))*N33)</f>
        <v>5.96</v>
      </c>
      <c r="U25">
        <f>IF(O33=0,0,((O33-(K9*K25)))*P33)</f>
        <v>11.2</v>
      </c>
      <c r="W25">
        <f>IF(Q33=0,0,((Q33-K9*K25))*R33)</f>
        <v>1.48</v>
      </c>
      <c r="Y25">
        <f>IF(S33=0,0,((S33-K9*K25))*T33)</f>
        <v>10.440000000000001</v>
      </c>
      <c r="Z25">
        <f>IF(U33=0,0,((U33-K9*K25))*V33)</f>
        <v>0</v>
      </c>
      <c r="AA25">
        <f>IF(W33=0,0,((W33-K9*K25))*X33)</f>
        <v>0</v>
      </c>
      <c r="AB25">
        <f>IF(Y33=0,0,(Y33-K9*K25))</f>
        <v>0</v>
      </c>
      <c r="AC25">
        <f>(Q25+S25+U25+W25+Y25+Z25+AA25+AB25)*K9*G9</f>
        <v>8.109000000000002</v>
      </c>
      <c r="AM25" s="329" t="str">
        <f>Data!B36</f>
        <v>W3</v>
      </c>
      <c r="AN25">
        <f>Data!C36</f>
        <v>2</v>
      </c>
      <c r="AO25">
        <f>Data!D36</f>
        <v>0</v>
      </c>
      <c r="AP25" s="10">
        <f>AN25+AO25</f>
        <v>2</v>
      </c>
      <c r="AQ25" s="9">
        <f>Data!E36</f>
        <v>1.35</v>
      </c>
      <c r="AR25" s="62">
        <f>Data!F36</f>
        <v>1.2</v>
      </c>
      <c r="AS25">
        <f t="shared" si="14"/>
        <v>2.4</v>
      </c>
      <c r="AT25">
        <f t="shared" si="9"/>
        <v>0</v>
      </c>
      <c r="AU25" s="9">
        <f t="shared" si="10"/>
        <v>2.4</v>
      </c>
      <c r="AV25">
        <f t="shared" si="15"/>
        <v>3.24</v>
      </c>
      <c r="AW25">
        <f t="shared" si="11"/>
        <v>0</v>
      </c>
      <c r="AX25" s="9">
        <f t="shared" si="6"/>
        <v>3.24</v>
      </c>
      <c r="AY25" s="9">
        <f t="shared" si="16"/>
        <v>0.007000000000000001</v>
      </c>
      <c r="AZ25" s="9">
        <f t="shared" si="17"/>
        <v>0.07</v>
      </c>
      <c r="BA25" s="9">
        <f t="shared" si="18"/>
        <v>4</v>
      </c>
      <c r="BB25" s="9"/>
      <c r="BC25" s="9">
        <f t="shared" si="12"/>
        <v>0.09338000000000002</v>
      </c>
      <c r="BD25" s="9">
        <f t="shared" si="13"/>
        <v>0.1</v>
      </c>
      <c r="BE25" s="6">
        <f t="shared" si="19"/>
        <v>0.98</v>
      </c>
      <c r="BF25" s="9">
        <f t="shared" si="20"/>
        <v>1.23</v>
      </c>
      <c r="BG25" s="9">
        <f t="shared" si="7"/>
        <v>2.4108</v>
      </c>
      <c r="BH25" s="13">
        <f t="shared" si="21"/>
        <v>3</v>
      </c>
      <c r="BI25" s="110">
        <f t="shared" si="22"/>
        <v>0.32666666666666666</v>
      </c>
      <c r="BK25">
        <f t="shared" si="23"/>
        <v>2.7906976744186047</v>
      </c>
      <c r="BL25">
        <f t="shared" si="24"/>
        <v>3</v>
      </c>
      <c r="BM25" s="13"/>
      <c r="BP25" s="216"/>
    </row>
    <row r="26" spans="4:68" ht="12.75">
      <c r="D26">
        <v>4</v>
      </c>
      <c r="E26" t="str">
        <f>Data!H17</f>
        <v> Wall 04 </v>
      </c>
      <c r="G26" s="9">
        <f>Data!J17</f>
        <v>1</v>
      </c>
      <c r="H26" s="2">
        <f>Data!K17</f>
        <v>2.23</v>
      </c>
      <c r="I26" s="5" t="str">
        <f>Data!L17</f>
        <v>c</v>
      </c>
      <c r="K26">
        <f t="shared" si="25"/>
        <v>1</v>
      </c>
      <c r="O26" t="s">
        <v>17</v>
      </c>
      <c r="Q26">
        <f>IF(K34=0,0,((K34-(K10*K26)))*L34)</f>
        <v>8.46</v>
      </c>
      <c r="S26">
        <f>IF(M34=0,0,((M34-(K10*K26)))*N34)</f>
        <v>7.46</v>
      </c>
      <c r="U26">
        <f>IF(O34=0,0,((O34-(K10*K26)))*P34)</f>
        <v>12.7</v>
      </c>
      <c r="W26">
        <f>IF(Q34=0,0,((Q34-K10*K26))*R34)</f>
        <v>2.23</v>
      </c>
      <c r="Y26">
        <f>IF(S34=0,0,((S34-K10*K26))*T34)</f>
        <v>12.690000000000001</v>
      </c>
      <c r="Z26">
        <f>IF(U34=0,0,((U34-K10*K26))*V34)</f>
        <v>0</v>
      </c>
      <c r="AA26">
        <f>IF(W34=0,0,((W34-K10*K26))*X34)</f>
        <v>0</v>
      </c>
      <c r="AB26">
        <f>IF(Y34=0,0,(Y34-K10*K26))</f>
        <v>0</v>
      </c>
      <c r="AC26">
        <f>(Q26+S26+U26+W26+Y26+Z26+AA26+AB26)*K10*G10</f>
        <v>0</v>
      </c>
      <c r="AH26" s="15" t="str">
        <f>Data!N21</f>
        <v>Concrete</v>
      </c>
      <c r="AI26" s="15"/>
      <c r="AJ26" s="15"/>
      <c r="AK26" s="15"/>
      <c r="AM26" s="329" t="str">
        <f>Data!B37</f>
        <v>W4</v>
      </c>
      <c r="AN26">
        <f>Data!C37</f>
        <v>1</v>
      </c>
      <c r="AO26">
        <f>Data!D37</f>
        <v>0</v>
      </c>
      <c r="AP26" s="10">
        <f t="shared" si="8"/>
        <v>1</v>
      </c>
      <c r="AQ26" s="9">
        <v>1</v>
      </c>
      <c r="AR26" s="62">
        <f>Data!F37</f>
        <v>1.5</v>
      </c>
      <c r="AS26">
        <f t="shared" si="14"/>
        <v>1.5</v>
      </c>
      <c r="AT26">
        <f t="shared" si="9"/>
        <v>0</v>
      </c>
      <c r="AU26" s="9">
        <f t="shared" si="10"/>
        <v>1.5</v>
      </c>
      <c r="AV26">
        <f t="shared" si="15"/>
        <v>1.5</v>
      </c>
      <c r="AW26">
        <f t="shared" si="11"/>
        <v>0</v>
      </c>
      <c r="AX26" s="9">
        <f t="shared" si="6"/>
        <v>1.5</v>
      </c>
      <c r="AY26" s="9">
        <f t="shared" si="16"/>
        <v>0.007000000000000001</v>
      </c>
      <c r="AZ26" s="9">
        <f t="shared" si="17"/>
        <v>0.07</v>
      </c>
      <c r="BA26" s="9">
        <f t="shared" si="18"/>
        <v>4</v>
      </c>
      <c r="BB26" s="9"/>
      <c r="BC26" s="9">
        <f t="shared" si="12"/>
        <v>0.038990000000000004</v>
      </c>
      <c r="BD26" s="9">
        <f t="shared" si="13"/>
        <v>0.1</v>
      </c>
      <c r="BE26" s="6">
        <f t="shared" si="19"/>
        <v>1.28</v>
      </c>
      <c r="BF26" s="9">
        <f t="shared" si="20"/>
        <v>0.88</v>
      </c>
      <c r="BG26" s="9">
        <f t="shared" si="7"/>
        <v>1.1264</v>
      </c>
      <c r="BH26" s="13">
        <f t="shared" si="21"/>
        <v>3</v>
      </c>
      <c r="BI26" s="110">
        <f t="shared" si="22"/>
        <v>0.4266666666666667</v>
      </c>
      <c r="BK26">
        <f t="shared" si="23"/>
        <v>3.488372093023256</v>
      </c>
      <c r="BL26">
        <f t="shared" si="24"/>
        <v>3</v>
      </c>
      <c r="BM26" s="13"/>
      <c r="BP26" s="216"/>
    </row>
    <row r="27" spans="4:64" ht="12.75">
      <c r="D27">
        <v>5</v>
      </c>
      <c r="E27" t="str">
        <f>Data!H18</f>
        <v> Wall 05 </v>
      </c>
      <c r="G27" s="9">
        <f>Data!J18</f>
        <v>3</v>
      </c>
      <c r="H27" s="2">
        <f>Data!K18</f>
        <v>4.23</v>
      </c>
      <c r="I27" s="5" t="str">
        <f>Data!L18</f>
        <v>c</v>
      </c>
      <c r="K27">
        <f t="shared" si="25"/>
        <v>1</v>
      </c>
      <c r="AC27" s="6">
        <f>SUM(AC23:AC26)</f>
        <v>20.691900000000004</v>
      </c>
      <c r="AH27" s="15" t="str">
        <f>Data!N24</f>
        <v>Roof GF</v>
      </c>
      <c r="AI27" s="15"/>
      <c r="AJ27" s="15"/>
      <c r="AK27" s="15"/>
      <c r="AM27" s="330" t="str">
        <f>Data!B38</f>
        <v>V1</v>
      </c>
      <c r="AN27">
        <f>Data!C38</f>
        <v>2</v>
      </c>
      <c r="AO27">
        <f>Data!D38</f>
        <v>2</v>
      </c>
      <c r="AP27" s="10">
        <f t="shared" si="8"/>
        <v>4</v>
      </c>
      <c r="AQ27" s="12">
        <f>Data!E38</f>
        <v>0.9</v>
      </c>
      <c r="AR27" s="65">
        <f>Data!F38</f>
        <v>0.6</v>
      </c>
      <c r="AS27">
        <f t="shared" si="14"/>
        <v>1.2</v>
      </c>
      <c r="AT27">
        <f t="shared" si="9"/>
        <v>1.2</v>
      </c>
      <c r="AU27" s="12">
        <f t="shared" si="10"/>
        <v>2.4</v>
      </c>
      <c r="AV27">
        <f t="shared" si="15"/>
        <v>1.08</v>
      </c>
      <c r="AW27">
        <f t="shared" si="11"/>
        <v>1.08</v>
      </c>
      <c r="AX27" s="12">
        <f t="shared" si="6"/>
        <v>2.16</v>
      </c>
      <c r="AY27" s="12">
        <f t="shared" si="16"/>
        <v>0.007000000000000001</v>
      </c>
      <c r="AZ27" s="12">
        <f t="shared" si="17"/>
        <v>0.07</v>
      </c>
      <c r="BA27" s="9">
        <f t="shared" si="18"/>
        <v>2</v>
      </c>
      <c r="BB27" s="12"/>
      <c r="BC27" s="12">
        <f t="shared" si="12"/>
        <v>0.06916000000000001</v>
      </c>
      <c r="BD27" s="12">
        <f t="shared" si="13"/>
        <v>0.1</v>
      </c>
      <c r="BE27" s="6">
        <f t="shared" si="19"/>
        <v>0.48</v>
      </c>
      <c r="BF27" s="9">
        <f t="shared" si="20"/>
        <v>0.78</v>
      </c>
      <c r="BG27" s="12">
        <f t="shared" si="7"/>
        <v>1.4976</v>
      </c>
      <c r="BH27" s="13">
        <f t="shared" si="21"/>
        <v>1</v>
      </c>
      <c r="BI27" s="110">
        <f t="shared" si="22"/>
        <v>0.48</v>
      </c>
      <c r="BK27">
        <f t="shared" si="23"/>
        <v>1.3953488372093024</v>
      </c>
      <c r="BL27">
        <f t="shared" si="24"/>
        <v>1</v>
      </c>
    </row>
    <row r="28" spans="4:64" ht="12.75">
      <c r="D28">
        <v>6</v>
      </c>
      <c r="E28" t="str">
        <f>Data!H19</f>
        <v> Wall 06 </v>
      </c>
      <c r="G28" s="10">
        <f>Data!J19</f>
        <v>0</v>
      </c>
      <c r="H28" s="2">
        <f>Data!K19</f>
        <v>0</v>
      </c>
      <c r="I28" s="5" t="str">
        <f>Data!L19</f>
        <v>c</v>
      </c>
      <c r="K28">
        <f t="shared" si="25"/>
        <v>1</v>
      </c>
      <c r="O28" t="s">
        <v>18</v>
      </c>
      <c r="Q28" s="29">
        <f>IF(K35=0,0,((K35-(K11*K27)))*L35)</f>
        <v>6.5600000000000005</v>
      </c>
      <c r="R28" s="29"/>
      <c r="S28" s="29">
        <f>IF(M35=0,0,((M35-(K11*K27)))*N35)</f>
        <v>5.5600000000000005</v>
      </c>
      <c r="T28" s="29"/>
      <c r="U28" s="29">
        <f>IF(O35=0,0,((O35-(K11*K27)))*P35)</f>
        <v>10.799999999999999</v>
      </c>
      <c r="V28" s="29"/>
      <c r="W28" s="29">
        <f>IF(Q35=0,0,((Q35-K11*K27))*R35)</f>
        <v>1.28</v>
      </c>
      <c r="X28" s="29"/>
      <c r="Y28" s="29">
        <f>IF(S35=0,0,((S35-K11*K27))*T35)</f>
        <v>9.84</v>
      </c>
      <c r="Z28" s="29">
        <f>IF(U35=0,0,((U35-K11*K27))*V35)</f>
        <v>0</v>
      </c>
      <c r="AA28" s="29">
        <f>IF(W35=0,0,((W35-K11*K27))*X35)</f>
        <v>0</v>
      </c>
      <c r="AB28" s="29">
        <f>IF(Y35=0,0,((Y35-K11*K27))*Z35)</f>
        <v>0</v>
      </c>
      <c r="AC28" s="7">
        <f>(Q28+S28+U28+W28+Y28+Z28+AA28)*K11*G11</f>
        <v>3.2338000000000005</v>
      </c>
      <c r="AH28" s="15"/>
      <c r="AI28" s="15" t="s">
        <v>46</v>
      </c>
      <c r="AJ28" s="66" t="str">
        <f>Data!N23</f>
        <v>Slab Thickness</v>
      </c>
      <c r="AK28" s="66" t="s">
        <v>12</v>
      </c>
      <c r="AM28" s="330" t="str">
        <f>Data!B39</f>
        <v>V2</v>
      </c>
      <c r="AN28">
        <f>Data!C39</f>
        <v>0</v>
      </c>
      <c r="AO28">
        <f>Data!D39</f>
        <v>0</v>
      </c>
      <c r="AP28" s="10">
        <f t="shared" si="8"/>
        <v>0</v>
      </c>
      <c r="AQ28" s="12">
        <f>Data!E39</f>
        <v>0</v>
      </c>
      <c r="AR28" s="61">
        <f>Data!F39</f>
        <v>0</v>
      </c>
      <c r="AS28">
        <f t="shared" si="14"/>
        <v>0</v>
      </c>
      <c r="AT28">
        <f t="shared" si="9"/>
        <v>0</v>
      </c>
      <c r="AU28" s="12">
        <f t="shared" si="10"/>
        <v>0</v>
      </c>
      <c r="AV28">
        <f t="shared" si="15"/>
        <v>0</v>
      </c>
      <c r="AW28">
        <f t="shared" si="11"/>
        <v>0</v>
      </c>
      <c r="AX28" s="12">
        <f t="shared" si="6"/>
        <v>0</v>
      </c>
      <c r="AY28" s="12">
        <f t="shared" si="16"/>
        <v>0.007000000000000001</v>
      </c>
      <c r="AZ28" s="12">
        <f t="shared" si="17"/>
        <v>0.07</v>
      </c>
      <c r="BA28" s="9">
        <f t="shared" si="18"/>
        <v>1</v>
      </c>
      <c r="BB28" s="12"/>
      <c r="BC28" s="12">
        <f t="shared" si="12"/>
        <v>0</v>
      </c>
      <c r="BD28" s="12">
        <f t="shared" si="13"/>
        <v>0.1</v>
      </c>
      <c r="BE28" s="6">
        <f t="shared" si="19"/>
        <v>0</v>
      </c>
      <c r="BF28" s="9">
        <f t="shared" si="20"/>
        <v>0</v>
      </c>
      <c r="BG28" s="12">
        <f t="shared" si="7"/>
        <v>0</v>
      </c>
      <c r="BH28" s="13">
        <f t="shared" si="21"/>
        <v>0</v>
      </c>
      <c r="BI28" s="110">
        <f t="shared" si="22"/>
        <v>0</v>
      </c>
      <c r="BK28">
        <f t="shared" si="23"/>
        <v>0</v>
      </c>
      <c r="BL28">
        <f t="shared" si="24"/>
        <v>0</v>
      </c>
    </row>
    <row r="29" spans="7:62" ht="12.75">
      <c r="G29" s="11"/>
      <c r="H29" s="1"/>
      <c r="I29" s="220"/>
      <c r="K29">
        <f t="shared" si="25"/>
        <v>1</v>
      </c>
      <c r="M29" t="s">
        <v>21</v>
      </c>
      <c r="Q29">
        <f>(K31-K4)*L31</f>
        <v>8.06</v>
      </c>
      <c r="S29">
        <f>(M31-K4)*N31</f>
        <v>7.06</v>
      </c>
      <c r="U29">
        <f>(O31-K4)*P31</f>
        <v>12.299999999999999</v>
      </c>
      <c r="W29">
        <f>(Q31-K4)*R31</f>
        <v>2.03</v>
      </c>
      <c r="Y29">
        <f>(S31-K4)*T31</f>
        <v>12.09</v>
      </c>
      <c r="Z29">
        <f>(U31-K4)*V31</f>
        <v>0</v>
      </c>
      <c r="AA29">
        <f>(W31-K4)*X31</f>
        <v>0</v>
      </c>
      <c r="AB29">
        <f>IF(Y31=0,0,((Y31-K4))*Z31)</f>
        <v>0</v>
      </c>
      <c r="AC29" s="3">
        <f>(Q29+S29+U29+W29+Y29+Z29+AA29+AB29)*K4*G5</f>
        <v>24.924000000000007</v>
      </c>
      <c r="AH29" s="15"/>
      <c r="AI29" s="15">
        <f>Data!M8</f>
        <v>125.53</v>
      </c>
      <c r="AJ29" s="66">
        <f>Data!O24</f>
        <v>0.1</v>
      </c>
      <c r="AK29" s="15">
        <f>AI29*AJ29</f>
        <v>12.553</v>
      </c>
      <c r="AO29" s="12"/>
      <c r="AP29" s="12"/>
      <c r="AQ29" s="12"/>
      <c r="AR29" s="61"/>
      <c r="AU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03"/>
      <c r="BJ29" s="103"/>
    </row>
    <row r="30" spans="7:62" ht="12.75">
      <c r="G30">
        <v>17.94</v>
      </c>
      <c r="H30" s="1"/>
      <c r="I30" s="220"/>
      <c r="K30">
        <f t="shared" si="25"/>
        <v>1</v>
      </c>
      <c r="AC30" t="s">
        <v>197</v>
      </c>
      <c r="AH30" s="15"/>
      <c r="AI30" s="15">
        <f>Data!M9</f>
        <v>64.3</v>
      </c>
      <c r="AJ30" s="66">
        <f>Data!O25</f>
        <v>0.1</v>
      </c>
      <c r="AK30" s="15">
        <f>AI30*AJ30</f>
        <v>6.43</v>
      </c>
      <c r="AM30" s="16" t="s">
        <v>47</v>
      </c>
      <c r="AN30" s="3">
        <f>SUM(AN20:AN29)</f>
        <v>22</v>
      </c>
      <c r="AO30" s="3">
        <f>SUM(AO20:AO29)</f>
        <v>11</v>
      </c>
      <c r="AP30">
        <f>SUM(AP20:AP29)</f>
        <v>33</v>
      </c>
      <c r="AR30">
        <f>SUM(AR20:AR29)</f>
        <v>8.799999999999999</v>
      </c>
      <c r="AS30" s="7">
        <f>SUM(AS20:AS29)</f>
        <v>26.099999999999998</v>
      </c>
      <c r="AT30" s="7">
        <f>SUM(AT20:AT29)</f>
        <v>12.7</v>
      </c>
      <c r="AU30" s="7">
        <f>SUM(AU20:AU29)</f>
        <v>38.8</v>
      </c>
      <c r="AV30">
        <f>SUM(AV20:AV28)</f>
        <v>38.52</v>
      </c>
      <c r="AW30">
        <f>SUM(AW20:AW28)</f>
        <v>19.83</v>
      </c>
      <c r="AX30" s="3">
        <f>SUM(AX20:AX29)</f>
        <v>58.35000000000001</v>
      </c>
      <c r="BA30" t="s">
        <v>150</v>
      </c>
      <c r="BB30"/>
      <c r="BC30" s="3">
        <f>SUM(BC20:BC29)</f>
        <v>1.3594700000000006</v>
      </c>
      <c r="BE30" t="s">
        <v>154</v>
      </c>
      <c r="BG30" s="354">
        <f>BG20+BG21+BG22</f>
        <v>22.017000000000003</v>
      </c>
      <c r="BH30" s="103"/>
      <c r="BJ30" s="103"/>
    </row>
    <row r="31" spans="1:62" ht="12.75">
      <c r="A31" s="3" t="str">
        <f>Data!B41</f>
        <v>G.F</v>
      </c>
      <c r="B31" s="3"/>
      <c r="C31" s="13" t="s">
        <v>80</v>
      </c>
      <c r="D31" s="13" t="s">
        <v>11</v>
      </c>
      <c r="F31" s="70" t="s">
        <v>46</v>
      </c>
      <c r="G31" s="70" t="s">
        <v>293</v>
      </c>
      <c r="H31" s="63" t="s">
        <v>108</v>
      </c>
      <c r="I31" s="10" t="s">
        <v>200</v>
      </c>
      <c r="J31" s="77">
        <f>E47+E46+E41+E40+E39</f>
        <v>4</v>
      </c>
      <c r="K31">
        <f>H23</f>
        <v>4.23</v>
      </c>
      <c r="L31">
        <f>G23</f>
        <v>2</v>
      </c>
      <c r="M31">
        <f>H24</f>
        <v>3.73</v>
      </c>
      <c r="N31" s="11">
        <f>G24</f>
        <v>2</v>
      </c>
      <c r="O31">
        <f>H25</f>
        <v>6.35</v>
      </c>
      <c r="P31" s="9">
        <f>G25</f>
        <v>2</v>
      </c>
      <c r="Q31" s="9">
        <f>H26</f>
        <v>2.23</v>
      </c>
      <c r="R31" s="10">
        <f>G26</f>
        <v>1</v>
      </c>
      <c r="S31">
        <f>H27</f>
        <v>4.23</v>
      </c>
      <c r="T31" s="9">
        <f>G27</f>
        <v>3</v>
      </c>
      <c r="U31">
        <f>H28</f>
        <v>0</v>
      </c>
      <c r="V31" s="12">
        <f>G28</f>
        <v>0</v>
      </c>
      <c r="W31">
        <f>H29</f>
        <v>0</v>
      </c>
      <c r="X31" s="11">
        <f>G29</f>
        <v>0</v>
      </c>
      <c r="Y31">
        <f>H30</f>
        <v>0</v>
      </c>
      <c r="Z31">
        <f>G30</f>
        <v>17.94</v>
      </c>
      <c r="AH31" s="15"/>
      <c r="AI31" s="15" t="str">
        <f>Data!N32</f>
        <v>Stair</v>
      </c>
      <c r="AJ31" s="15"/>
      <c r="AK31" s="15"/>
      <c r="AN31">
        <f>AN23+AN24+AN25+AN26+AN27+AN28</f>
        <v>14</v>
      </c>
      <c r="AO31">
        <f>AO23+AO24+AO25+AO26+AO27+AO28</f>
        <v>6</v>
      </c>
      <c r="AS31">
        <f>AS23+AS24+AS25+AS26+AS27+AS28</f>
        <v>18.9</v>
      </c>
      <c r="AT31">
        <f>AT23+AT24+AT25+AT26+AT27+AT28</f>
        <v>8.4</v>
      </c>
      <c r="BA31" t="s">
        <v>151</v>
      </c>
      <c r="BB31"/>
      <c r="BC31" s="7">
        <f>BC20+BC21+BC22</f>
        <v>0.4690700000000001</v>
      </c>
      <c r="BE31" t="s">
        <v>155</v>
      </c>
      <c r="BG31" s="355">
        <f>BG23+BG24+BG25+BG26</f>
        <v>24.5474</v>
      </c>
      <c r="BH31" s="103"/>
      <c r="BJ31" s="103"/>
    </row>
    <row r="32" spans="1:62" ht="12.75">
      <c r="A32" s="3" t="str">
        <f>Data!B42</f>
        <v>Kitchen</v>
      </c>
      <c r="B32" s="3">
        <f>F32</f>
        <v>12</v>
      </c>
      <c r="C32" s="13">
        <f>Data!D42</f>
        <v>4</v>
      </c>
      <c r="D32" s="13">
        <f>Data!E42</f>
        <v>3</v>
      </c>
      <c r="F32" s="69">
        <f>C32*D32</f>
        <v>12</v>
      </c>
      <c r="G32" s="70">
        <f>(C32+D32)*2</f>
        <v>14</v>
      </c>
      <c r="H32" s="40">
        <f>F32</f>
        <v>12</v>
      </c>
      <c r="I32" t="s">
        <v>263</v>
      </c>
      <c r="J32">
        <f>G5</f>
        <v>3</v>
      </c>
      <c r="K32">
        <f>K31</f>
        <v>4.23</v>
      </c>
      <c r="L32">
        <f>L31</f>
        <v>2</v>
      </c>
      <c r="M32">
        <f aca="true" t="shared" si="26" ref="K32:Y35">M31</f>
        <v>3.73</v>
      </c>
      <c r="N32">
        <f>N31</f>
        <v>2</v>
      </c>
      <c r="O32">
        <f t="shared" si="26"/>
        <v>6.35</v>
      </c>
      <c r="P32">
        <f>P31</f>
        <v>2</v>
      </c>
      <c r="Q32">
        <f t="shared" si="26"/>
        <v>2.23</v>
      </c>
      <c r="R32">
        <f>R31</f>
        <v>1</v>
      </c>
      <c r="S32">
        <f t="shared" si="26"/>
        <v>4.23</v>
      </c>
      <c r="T32">
        <f>T31</f>
        <v>3</v>
      </c>
      <c r="U32">
        <f t="shared" si="26"/>
        <v>0</v>
      </c>
      <c r="V32">
        <f>V31</f>
        <v>0</v>
      </c>
      <c r="W32">
        <f t="shared" si="26"/>
        <v>0</v>
      </c>
      <c r="X32">
        <f>X31</f>
        <v>0</v>
      </c>
      <c r="Y32">
        <f t="shared" si="26"/>
        <v>0</v>
      </c>
      <c r="Z32">
        <f>Z31</f>
        <v>17.94</v>
      </c>
      <c r="AH32" s="15"/>
      <c r="AI32" s="15"/>
      <c r="AJ32" s="15"/>
      <c r="AK32" s="15">
        <f>SUM(AK29:AK31)</f>
        <v>18.983</v>
      </c>
      <c r="AV32" s="154">
        <f>AV30*AE7</f>
        <v>7.704000000000001</v>
      </c>
      <c r="AW32" s="154">
        <f>AW30*AE7</f>
        <v>3.9659999999999997</v>
      </c>
      <c r="AZ32" s="105" t="s">
        <v>48</v>
      </c>
      <c r="BA32" s="109"/>
      <c r="BB32" s="105">
        <f>AX30*AE7</f>
        <v>11.670000000000002</v>
      </c>
      <c r="BC32"/>
      <c r="BE32" t="s">
        <v>156</v>
      </c>
      <c r="BG32" s="356">
        <f>BG27+BG28</f>
        <v>1.4976</v>
      </c>
      <c r="BH32" s="103"/>
      <c r="BJ32" s="103"/>
    </row>
    <row r="33" spans="1:62" ht="12.75">
      <c r="A33" s="3" t="str">
        <f>Data!B43</f>
        <v>Work area</v>
      </c>
      <c r="B33" s="3">
        <f>F33</f>
        <v>5.6</v>
      </c>
      <c r="C33" s="13">
        <f>Data!D43</f>
        <v>2.8</v>
      </c>
      <c r="D33" s="13">
        <f>Data!E43</f>
        <v>2</v>
      </c>
      <c r="F33" s="69">
        <f aca="true" t="shared" si="27" ref="F33:F43">C33*D33</f>
        <v>5.6</v>
      </c>
      <c r="G33" s="70">
        <f aca="true" t="shared" si="28" ref="G33:G43">(C33+D33)*2</f>
        <v>9.6</v>
      </c>
      <c r="H33" s="40">
        <f>F33</f>
        <v>5.6</v>
      </c>
      <c r="J33">
        <f>Data!O24</f>
        <v>0.1</v>
      </c>
      <c r="K33">
        <f t="shared" si="26"/>
        <v>4.23</v>
      </c>
      <c r="L33">
        <f>L32</f>
        <v>2</v>
      </c>
      <c r="M33">
        <f t="shared" si="26"/>
        <v>3.73</v>
      </c>
      <c r="N33">
        <f>N32</f>
        <v>2</v>
      </c>
      <c r="O33">
        <f t="shared" si="26"/>
        <v>6.35</v>
      </c>
      <c r="P33">
        <f>P32</f>
        <v>2</v>
      </c>
      <c r="Q33">
        <f t="shared" si="26"/>
        <v>2.23</v>
      </c>
      <c r="R33">
        <f>R32</f>
        <v>1</v>
      </c>
      <c r="S33">
        <f t="shared" si="26"/>
        <v>4.23</v>
      </c>
      <c r="T33">
        <f>T32</f>
        <v>3</v>
      </c>
      <c r="U33">
        <f t="shared" si="26"/>
        <v>0</v>
      </c>
      <c r="V33">
        <f>V32</f>
        <v>0</v>
      </c>
      <c r="W33">
        <f t="shared" si="26"/>
        <v>0</v>
      </c>
      <c r="X33">
        <f>X32</f>
        <v>0</v>
      </c>
      <c r="Y33">
        <f t="shared" si="26"/>
        <v>0</v>
      </c>
      <c r="Z33">
        <f>Z32</f>
        <v>17.94</v>
      </c>
      <c r="AH33" s="15" t="s">
        <v>68</v>
      </c>
      <c r="AI33" s="15"/>
      <c r="AJ33" s="15"/>
      <c r="AK33" s="15">
        <f>(Calculation01!N99+Calculation01!N99)*Calculation01!N117*Calculation01!N100</f>
        <v>0.24</v>
      </c>
      <c r="AL33" s="3">
        <f>AK29-AK33</f>
        <v>12.313</v>
      </c>
      <c r="BB33"/>
      <c r="BC33"/>
      <c r="BH33">
        <f>BG30+BG31+BG32</f>
        <v>48.062000000000005</v>
      </c>
      <c r="BI33" s="103"/>
      <c r="BJ33" s="103"/>
    </row>
    <row r="34" spans="1:47" ht="12.75">
      <c r="A34" s="7" t="str">
        <f>Data!B44</f>
        <v>Bed room</v>
      </c>
      <c r="B34" s="7">
        <f>F34+F35</f>
        <v>27.2</v>
      </c>
      <c r="C34" s="13">
        <f>Data!D44</f>
        <v>4</v>
      </c>
      <c r="D34" s="13">
        <f>Data!E44</f>
        <v>3.3</v>
      </c>
      <c r="F34" s="69">
        <f>C34*D34</f>
        <v>13.2</v>
      </c>
      <c r="G34" s="70">
        <f t="shared" si="28"/>
        <v>14.6</v>
      </c>
      <c r="H34" s="40"/>
      <c r="K34">
        <f t="shared" si="26"/>
        <v>4.23</v>
      </c>
      <c r="L34">
        <f>L33</f>
        <v>2</v>
      </c>
      <c r="M34">
        <f t="shared" si="26"/>
        <v>3.73</v>
      </c>
      <c r="N34">
        <f>N33</f>
        <v>2</v>
      </c>
      <c r="O34">
        <f t="shared" si="26"/>
        <v>6.35</v>
      </c>
      <c r="P34">
        <f>P33</f>
        <v>2</v>
      </c>
      <c r="Q34">
        <f t="shared" si="26"/>
        <v>2.23</v>
      </c>
      <c r="R34">
        <f>R33</f>
        <v>1</v>
      </c>
      <c r="S34">
        <f t="shared" si="26"/>
        <v>4.23</v>
      </c>
      <c r="T34">
        <f>T33</f>
        <v>3</v>
      </c>
      <c r="U34">
        <f t="shared" si="26"/>
        <v>0</v>
      </c>
      <c r="V34">
        <f>V33</f>
        <v>0</v>
      </c>
      <c r="W34">
        <f t="shared" si="26"/>
        <v>0</v>
      </c>
      <c r="X34">
        <f>X33</f>
        <v>0</v>
      </c>
      <c r="Y34">
        <f t="shared" si="26"/>
        <v>0</v>
      </c>
      <c r="Z34">
        <f>Z33</f>
        <v>17.94</v>
      </c>
      <c r="AH34" s="15" t="s">
        <v>76</v>
      </c>
      <c r="AI34" s="15"/>
      <c r="AJ34" s="15"/>
      <c r="AK34" s="15">
        <f>Calculation01!P116</f>
        <v>0.8869733192202056</v>
      </c>
      <c r="AU34" s="3" t="s">
        <v>234</v>
      </c>
    </row>
    <row r="35" spans="1:59" ht="12.75">
      <c r="A35" s="7" t="str">
        <f>Data!B45</f>
        <v>Bed room </v>
      </c>
      <c r="B35" s="7"/>
      <c r="C35" s="13">
        <f>Data!D45</f>
        <v>4</v>
      </c>
      <c r="D35" s="13">
        <f>Data!E45</f>
        <v>3.5</v>
      </c>
      <c r="F35" s="69">
        <f t="shared" si="27"/>
        <v>14</v>
      </c>
      <c r="G35" s="70">
        <f t="shared" si="28"/>
        <v>15</v>
      </c>
      <c r="H35" s="40" t="s">
        <v>195</v>
      </c>
      <c r="K35">
        <f t="shared" si="26"/>
        <v>4.23</v>
      </c>
      <c r="L35">
        <f>L34</f>
        <v>2</v>
      </c>
      <c r="M35">
        <f t="shared" si="26"/>
        <v>3.73</v>
      </c>
      <c r="N35">
        <f>N34</f>
        <v>2</v>
      </c>
      <c r="O35">
        <f t="shared" si="26"/>
        <v>6.35</v>
      </c>
      <c r="P35">
        <f>P34</f>
        <v>2</v>
      </c>
      <c r="Q35">
        <f t="shared" si="26"/>
        <v>2.23</v>
      </c>
      <c r="R35">
        <f>R34</f>
        <v>1</v>
      </c>
      <c r="S35">
        <f t="shared" si="26"/>
        <v>4.23</v>
      </c>
      <c r="T35">
        <f>T34</f>
        <v>3</v>
      </c>
      <c r="U35">
        <f t="shared" si="26"/>
        <v>0</v>
      </c>
      <c r="V35">
        <f>V34</f>
        <v>0</v>
      </c>
      <c r="W35">
        <f t="shared" si="26"/>
        <v>0</v>
      </c>
      <c r="X35">
        <f>X34</f>
        <v>0</v>
      </c>
      <c r="Y35">
        <f t="shared" si="26"/>
        <v>0</v>
      </c>
      <c r="Z35">
        <f>Z34</f>
        <v>17.94</v>
      </c>
      <c r="AH35" s="15" t="s">
        <v>47</v>
      </c>
      <c r="AI35" s="15"/>
      <c r="AJ35" s="15"/>
      <c r="AK35" s="20">
        <f>AK32-AK33+AK34</f>
        <v>19.62997331922021</v>
      </c>
      <c r="AM35" s="107" t="s">
        <v>91</v>
      </c>
      <c r="AN35" s="107" t="s">
        <v>197</v>
      </c>
      <c r="AO35" s="108">
        <f>R90-AO36</f>
        <v>26.438867319220208</v>
      </c>
      <c r="AP35" s="105" t="s">
        <v>165</v>
      </c>
      <c r="AQ35" s="105" t="s">
        <v>247</v>
      </c>
      <c r="AR35" s="105"/>
      <c r="AS35" s="106">
        <f>R84-AS36</f>
        <v>38.68998209518309</v>
      </c>
      <c r="AU35" s="40"/>
      <c r="AV35" s="98" t="s">
        <v>29</v>
      </c>
      <c r="AW35" s="98" t="s">
        <v>33</v>
      </c>
      <c r="AX35" s="98" t="s">
        <v>11</v>
      </c>
      <c r="AY35" s="98" t="s">
        <v>226</v>
      </c>
      <c r="AZ35" s="98" t="s">
        <v>227</v>
      </c>
      <c r="BA35" s="98" t="s">
        <v>228</v>
      </c>
      <c r="BB35" s="98" t="s">
        <v>229</v>
      </c>
      <c r="BC35" s="98" t="s">
        <v>230</v>
      </c>
      <c r="BD35" s="98" t="s">
        <v>231</v>
      </c>
      <c r="BE35" s="98" t="s">
        <v>232</v>
      </c>
      <c r="BF35" s="98" t="s">
        <v>233</v>
      </c>
      <c r="BG35" s="99"/>
    </row>
    <row r="36" spans="1:59" ht="12.75">
      <c r="A36" s="3" t="str">
        <f>Data!B46</f>
        <v>Dining Room</v>
      </c>
      <c r="B36" s="3">
        <f>F36</f>
        <v>18.2</v>
      </c>
      <c r="C36" s="13">
        <f>Data!D46</f>
        <v>5.2</v>
      </c>
      <c r="D36" s="13">
        <f>Data!E46</f>
        <v>3.5</v>
      </c>
      <c r="F36" s="69">
        <f t="shared" si="27"/>
        <v>18.2</v>
      </c>
      <c r="G36" s="70">
        <f t="shared" si="28"/>
        <v>17.4</v>
      </c>
      <c r="H36" s="64">
        <f>F39+F40+F41+F46+F47</f>
        <v>16.12</v>
      </c>
      <c r="S36" s="23" t="s">
        <v>80</v>
      </c>
      <c r="T36" s="23" t="s">
        <v>11</v>
      </c>
      <c r="U36" s="23" t="s">
        <v>33</v>
      </c>
      <c r="V36" s="23"/>
      <c r="W36" s="23" t="s">
        <v>12</v>
      </c>
      <c r="X36" s="22"/>
      <c r="Y36" s="22"/>
      <c r="Z36" s="22"/>
      <c r="AA36" s="22"/>
      <c r="AB36" s="22" t="str">
        <f>Data!H41</f>
        <v>Column</v>
      </c>
      <c r="AC36" s="22" t="str">
        <f>Data!I42</f>
        <v>s</v>
      </c>
      <c r="AD36" s="22"/>
      <c r="AF36" s="8"/>
      <c r="AG36" s="8"/>
      <c r="AH36" s="8"/>
      <c r="AM36" s="107"/>
      <c r="AN36" s="107" t="s">
        <v>198</v>
      </c>
      <c r="AO36" s="107">
        <f>AK30</f>
        <v>6.43</v>
      </c>
      <c r="AP36" s="105" t="s">
        <v>13</v>
      </c>
      <c r="AQ36" s="105" t="s">
        <v>28</v>
      </c>
      <c r="AR36" s="105"/>
      <c r="AS36" s="105">
        <f>AK21+AJ23</f>
        <v>39.658632000000004</v>
      </c>
      <c r="AU36" s="40" t="str">
        <f aca="true" t="shared" si="29" ref="AU36:AU41">AM23</f>
        <v>W1</v>
      </c>
      <c r="AV36" s="40">
        <f aca="true" t="shared" si="30" ref="AV36:AX41">AP23</f>
        <v>3</v>
      </c>
      <c r="AW36" s="63">
        <f t="shared" si="30"/>
        <v>1</v>
      </c>
      <c r="AX36" s="63">
        <f t="shared" si="30"/>
        <v>1</v>
      </c>
      <c r="AY36" s="40">
        <f aca="true" t="shared" si="31" ref="AY36:AY41">AU23</f>
        <v>3</v>
      </c>
      <c r="AZ36" s="40">
        <f aca="true" t="shared" si="32" ref="AZ36:AZ41">IF(AV36=0,0,AW36-(AZ20*2))</f>
        <v>0.86</v>
      </c>
      <c r="BA36" s="40">
        <f aca="true" t="shared" si="33" ref="BA36:BA41">AZ36/0.16</f>
        <v>5.375</v>
      </c>
      <c r="BB36" s="63">
        <f aca="true" t="shared" si="34" ref="BB36:BB41">ROUNDDOWN(BA36,0)</f>
        <v>5</v>
      </c>
      <c r="BC36" s="63">
        <f aca="true" t="shared" si="35" ref="BC36:BC41">BB36*2</f>
        <v>10</v>
      </c>
      <c r="BD36" s="40">
        <f aca="true" t="shared" si="36" ref="BD36:BD41">BC36*AY36</f>
        <v>30</v>
      </c>
      <c r="BE36" s="40">
        <v>0.89</v>
      </c>
      <c r="BF36" s="40">
        <f aca="true" t="shared" si="37" ref="BF36:BF41">BE36*BD36</f>
        <v>26.7</v>
      </c>
      <c r="BG36" s="99">
        <f aca="true" t="shared" si="38" ref="BG36:BG41">AX36*2*2</f>
        <v>4</v>
      </c>
    </row>
    <row r="37" spans="1:59" ht="12.75">
      <c r="A37" s="6" t="str">
        <f>Data!B47</f>
        <v>Drawing Room</v>
      </c>
      <c r="B37" s="6">
        <f>F37</f>
        <v>14</v>
      </c>
      <c r="C37" s="13">
        <f>Data!D47</f>
        <v>4</v>
      </c>
      <c r="D37" s="13">
        <f>Data!E47</f>
        <v>3.5</v>
      </c>
      <c r="F37" s="69">
        <f t="shared" si="27"/>
        <v>14</v>
      </c>
      <c r="G37" s="70">
        <f t="shared" si="28"/>
        <v>15</v>
      </c>
      <c r="H37" s="40" t="s">
        <v>196</v>
      </c>
      <c r="I37" s="3" t="s">
        <v>111</v>
      </c>
      <c r="K37" s="3" t="s">
        <v>115</v>
      </c>
      <c r="L37" s="3">
        <f>((G39+G40+G41+G46+G47)*1.8)+((G32/2)*0.75*0.6)-(J31*AQ22*AR22)</f>
        <v>56.190000000000005</v>
      </c>
      <c r="S37" s="23">
        <f>AC39</f>
        <v>3.5</v>
      </c>
      <c r="T37" s="23">
        <f>AC38</f>
        <v>0.45</v>
      </c>
      <c r="U37" s="23">
        <f>AC38</f>
        <v>0.45</v>
      </c>
      <c r="V37" s="23"/>
      <c r="W37" s="23">
        <f>U37*T37*S37</f>
        <v>0.70875</v>
      </c>
      <c r="X37" s="22"/>
      <c r="Y37" s="22"/>
      <c r="Z37" s="22"/>
      <c r="AA37" s="22"/>
      <c r="AB37" s="22"/>
      <c r="AC37" s="22" t="str">
        <f>Data!I43</f>
        <v>c</v>
      </c>
      <c r="AD37" s="22"/>
      <c r="AE37" t="s">
        <v>81</v>
      </c>
      <c r="AF37" s="8"/>
      <c r="AG37" s="25">
        <f>IF(AC37="B",W40,0)</f>
        <v>0</v>
      </c>
      <c r="AH37" s="8"/>
      <c r="AU37" s="40" t="str">
        <f t="shared" si="29"/>
        <v>W2</v>
      </c>
      <c r="AV37" s="40">
        <f t="shared" si="30"/>
        <v>10</v>
      </c>
      <c r="AW37" s="63">
        <f t="shared" si="30"/>
        <v>1.35</v>
      </c>
      <c r="AX37" s="63">
        <f t="shared" si="30"/>
        <v>1.8</v>
      </c>
      <c r="AY37" s="40">
        <f t="shared" si="31"/>
        <v>18</v>
      </c>
      <c r="AZ37" s="40">
        <f t="shared" si="32"/>
        <v>1.21</v>
      </c>
      <c r="BA37" s="40">
        <f t="shared" si="33"/>
        <v>7.5625</v>
      </c>
      <c r="BB37" s="63">
        <f t="shared" si="34"/>
        <v>7</v>
      </c>
      <c r="BC37" s="63">
        <f t="shared" si="35"/>
        <v>14</v>
      </c>
      <c r="BD37" s="40">
        <f t="shared" si="36"/>
        <v>252</v>
      </c>
      <c r="BE37" s="40">
        <v>0.89</v>
      </c>
      <c r="BF37" s="40">
        <f t="shared" si="37"/>
        <v>224.28</v>
      </c>
      <c r="BG37" s="99">
        <f t="shared" si="38"/>
        <v>7.2</v>
      </c>
    </row>
    <row r="38" spans="1:59" ht="12.75">
      <c r="A38" s="30" t="str">
        <f>Data!B48</f>
        <v>Verandah</v>
      </c>
      <c r="B38" s="30">
        <f>F38</f>
        <v>8.5</v>
      </c>
      <c r="C38" s="13">
        <f>Data!D48</f>
        <v>4.25</v>
      </c>
      <c r="D38" s="13">
        <f>Data!E48</f>
        <v>2</v>
      </c>
      <c r="F38" s="69">
        <f t="shared" si="27"/>
        <v>8.5</v>
      </c>
      <c r="G38" s="70">
        <f t="shared" si="28"/>
        <v>12.5</v>
      </c>
      <c r="H38" s="40">
        <f>Calculation01!Q98</f>
        <v>9.6</v>
      </c>
      <c r="J38" s="7"/>
      <c r="S38" s="23">
        <v>0.3</v>
      </c>
      <c r="T38" s="23">
        <f>T37+0.1</f>
        <v>0.55</v>
      </c>
      <c r="U38" s="23">
        <f>T38</f>
        <v>0.55</v>
      </c>
      <c r="V38" s="23"/>
      <c r="W38" s="23">
        <f>U38*T38*S38</f>
        <v>0.09075000000000001</v>
      </c>
      <c r="X38" s="22"/>
      <c r="Y38" s="22"/>
      <c r="Z38" s="22"/>
      <c r="AA38" s="22"/>
      <c r="AB38" s="22" t="str">
        <f>Data!H44</f>
        <v>B</v>
      </c>
      <c r="AC38" s="22">
        <f>Data!I44</f>
        <v>0.45</v>
      </c>
      <c r="AD38" s="22"/>
      <c r="AE38" t="s">
        <v>82</v>
      </c>
      <c r="AF38" s="8"/>
      <c r="AG38" s="8">
        <f>IF(AC36="S",AH38,0)</f>
        <v>1.8525</v>
      </c>
      <c r="AH38" s="25">
        <f>IF(AC37="C",W40,0)</f>
        <v>1.8525</v>
      </c>
      <c r="AU38" s="40" t="str">
        <f t="shared" si="29"/>
        <v>W3</v>
      </c>
      <c r="AV38" s="40">
        <f t="shared" si="30"/>
        <v>2</v>
      </c>
      <c r="AW38" s="63">
        <f t="shared" si="30"/>
        <v>1.35</v>
      </c>
      <c r="AX38" s="63">
        <f t="shared" si="30"/>
        <v>1.2</v>
      </c>
      <c r="AY38" s="40">
        <f t="shared" si="31"/>
        <v>2.4</v>
      </c>
      <c r="AZ38" s="40">
        <f t="shared" si="32"/>
        <v>1.21</v>
      </c>
      <c r="BA38" s="40">
        <f t="shared" si="33"/>
        <v>7.5625</v>
      </c>
      <c r="BB38" s="63">
        <f t="shared" si="34"/>
        <v>7</v>
      </c>
      <c r="BC38" s="63">
        <f t="shared" si="35"/>
        <v>14</v>
      </c>
      <c r="BD38" s="40">
        <f t="shared" si="36"/>
        <v>33.6</v>
      </c>
      <c r="BE38" s="40">
        <v>0.89</v>
      </c>
      <c r="BF38" s="40">
        <f t="shared" si="37"/>
        <v>29.904000000000003</v>
      </c>
      <c r="BG38" s="99">
        <f t="shared" si="38"/>
        <v>4.8</v>
      </c>
    </row>
    <row r="39" spans="1:59" ht="12.75">
      <c r="A39" s="3" t="str">
        <f>Data!B49</f>
        <v>Bath 1</v>
      </c>
      <c r="B39" s="3">
        <f>F39+F40+F41</f>
        <v>8.06</v>
      </c>
      <c r="C39" s="13">
        <f>Data!D49</f>
        <v>2.6</v>
      </c>
      <c r="D39" s="13">
        <f>Data!E49</f>
        <v>1.6</v>
      </c>
      <c r="E39">
        <f>IF(F39=0,0,1)</f>
        <v>1</v>
      </c>
      <c r="F39" s="69">
        <f t="shared" si="27"/>
        <v>4.16</v>
      </c>
      <c r="G39" s="70">
        <f t="shared" si="28"/>
        <v>8.4</v>
      </c>
      <c r="H39" s="40"/>
      <c r="I39" t="s">
        <v>174</v>
      </c>
      <c r="J39" s="6">
        <f>G55*(J32+J33+0.6)</f>
        <v>181.07282</v>
      </c>
      <c r="O39" s="14"/>
      <c r="S39" s="23">
        <v>0.3</v>
      </c>
      <c r="T39" s="23">
        <f>T38+0.1</f>
        <v>0.65</v>
      </c>
      <c r="U39" s="23">
        <f>T39</f>
        <v>0.65</v>
      </c>
      <c r="V39" s="23"/>
      <c r="W39" s="23">
        <f>U39*T39*S39</f>
        <v>0.12675</v>
      </c>
      <c r="X39" s="22"/>
      <c r="Y39" s="22"/>
      <c r="Z39" s="22"/>
      <c r="AA39" s="22"/>
      <c r="AB39" s="22" t="str">
        <f>Data!H45</f>
        <v>Length</v>
      </c>
      <c r="AC39" s="22">
        <f>Data!I45</f>
        <v>3.5</v>
      </c>
      <c r="AD39" s="22"/>
      <c r="AE39" t="s">
        <v>83</v>
      </c>
      <c r="AF39" s="8"/>
      <c r="AG39" s="25">
        <f>IF(AC36="C",W44,0)</f>
        <v>0</v>
      </c>
      <c r="AH39" s="8"/>
      <c r="AI39" s="2"/>
      <c r="AJ39" s="2"/>
      <c r="AK39" s="2"/>
      <c r="AL39" s="2"/>
      <c r="AM39" s="2"/>
      <c r="AN39" s="2"/>
      <c r="AO39" s="2"/>
      <c r="AP39" s="2" t="s">
        <v>170</v>
      </c>
      <c r="AQ39" s="2" t="s">
        <v>299</v>
      </c>
      <c r="AR39" s="2"/>
      <c r="AS39" s="2"/>
      <c r="AU39" s="40" t="str">
        <f t="shared" si="29"/>
        <v>W4</v>
      </c>
      <c r="AV39" s="40">
        <f t="shared" si="30"/>
        <v>1</v>
      </c>
      <c r="AW39" s="63">
        <f t="shared" si="30"/>
        <v>1</v>
      </c>
      <c r="AX39" s="63">
        <f t="shared" si="30"/>
        <v>1.5</v>
      </c>
      <c r="AY39" s="40">
        <f t="shared" si="31"/>
        <v>1.5</v>
      </c>
      <c r="AZ39" s="40">
        <f t="shared" si="32"/>
        <v>0.86</v>
      </c>
      <c r="BA39" s="40">
        <f t="shared" si="33"/>
        <v>5.375</v>
      </c>
      <c r="BB39" s="63">
        <f t="shared" si="34"/>
        <v>5</v>
      </c>
      <c r="BC39" s="63">
        <f t="shared" si="35"/>
        <v>10</v>
      </c>
      <c r="BD39" s="40">
        <f t="shared" si="36"/>
        <v>15</v>
      </c>
      <c r="BE39" s="40">
        <v>0.89</v>
      </c>
      <c r="BF39" s="40">
        <f t="shared" si="37"/>
        <v>13.35</v>
      </c>
      <c r="BG39" s="99">
        <f t="shared" si="38"/>
        <v>6</v>
      </c>
    </row>
    <row r="40" spans="1:59" ht="12.75">
      <c r="A40" s="3" t="str">
        <f>Data!B50</f>
        <v>Bath 2</v>
      </c>
      <c r="B40" s="3"/>
      <c r="C40" s="13">
        <f>Data!D50</f>
        <v>2.6</v>
      </c>
      <c r="D40" s="13">
        <f>Data!E50</f>
        <v>1.5</v>
      </c>
      <c r="E40">
        <f>IF(F40=0,0,1)</f>
        <v>1</v>
      </c>
      <c r="F40" s="69">
        <f t="shared" si="27"/>
        <v>3.9000000000000004</v>
      </c>
      <c r="G40" s="70">
        <f t="shared" si="28"/>
        <v>8.2</v>
      </c>
      <c r="H40" s="40"/>
      <c r="I40" t="s">
        <v>175</v>
      </c>
      <c r="J40" s="6">
        <f>G56*G5</f>
        <v>104.64000000000001</v>
      </c>
      <c r="S40" s="23"/>
      <c r="T40" s="23"/>
      <c r="U40" s="23"/>
      <c r="V40" s="23"/>
      <c r="W40" s="23">
        <f>SUM(W37:W39)*AC40</f>
        <v>1.8525</v>
      </c>
      <c r="X40" s="27"/>
      <c r="Y40" s="27"/>
      <c r="Z40" s="27"/>
      <c r="AA40" s="27"/>
      <c r="AB40" s="27" t="str">
        <f>Data!H46</f>
        <v>Nos</v>
      </c>
      <c r="AC40" s="27">
        <f>Data!I46</f>
        <v>2</v>
      </c>
      <c r="AD40" s="27"/>
      <c r="AF40" s="8"/>
      <c r="AG40" s="8"/>
      <c r="AI40" s="2"/>
      <c r="AJ40" s="2"/>
      <c r="AK40" s="2"/>
      <c r="AL40" s="2"/>
      <c r="AM40" s="2"/>
      <c r="AN40" s="303" t="str">
        <f>Data!O43</f>
        <v>f</v>
      </c>
      <c r="AO40" s="2" t="s">
        <v>197</v>
      </c>
      <c r="AP40" s="212">
        <f>Data!O8</f>
        <v>48.9386</v>
      </c>
      <c r="AQ40" s="212">
        <f>AP40-AK50</f>
        <v>24.4386</v>
      </c>
      <c r="AR40" s="2" t="str">
        <f>Data!O43</f>
        <v>f</v>
      </c>
      <c r="AS40" s="2">
        <f>IF(AN40="F",AQ40,AR40)</f>
        <v>24.4386</v>
      </c>
      <c r="AU40" s="40" t="str">
        <f t="shared" si="29"/>
        <v>V1</v>
      </c>
      <c r="AV40" s="40">
        <f t="shared" si="30"/>
        <v>4</v>
      </c>
      <c r="AW40" s="63">
        <f t="shared" si="30"/>
        <v>0.9</v>
      </c>
      <c r="AX40" s="63">
        <f t="shared" si="30"/>
        <v>0.6</v>
      </c>
      <c r="AY40" s="40">
        <f t="shared" si="31"/>
        <v>2.4</v>
      </c>
      <c r="AZ40" s="40">
        <f t="shared" si="32"/>
        <v>0.76</v>
      </c>
      <c r="BA40" s="40">
        <f t="shared" si="33"/>
        <v>4.75</v>
      </c>
      <c r="BB40" s="63">
        <f t="shared" si="34"/>
        <v>4</v>
      </c>
      <c r="BC40" s="63">
        <f t="shared" si="35"/>
        <v>8</v>
      </c>
      <c r="BD40" s="40">
        <f t="shared" si="36"/>
        <v>19.2</v>
      </c>
      <c r="BE40" s="40">
        <v>0.89</v>
      </c>
      <c r="BF40" s="40">
        <f t="shared" si="37"/>
        <v>17.088</v>
      </c>
      <c r="BG40" s="99">
        <f t="shared" si="38"/>
        <v>2.4</v>
      </c>
    </row>
    <row r="41" spans="1:59" ht="12.75">
      <c r="A41" s="3" t="str">
        <f>Data!B51</f>
        <v>Bath 3</v>
      </c>
      <c r="B41" s="3"/>
      <c r="C41" s="13">
        <f>Data!D51</f>
        <v>0</v>
      </c>
      <c r="D41" s="13">
        <f>Data!E51</f>
        <v>0</v>
      </c>
      <c r="E41">
        <f>IF(F41=0,0,1)</f>
        <v>0</v>
      </c>
      <c r="F41" s="69">
        <f t="shared" si="27"/>
        <v>0</v>
      </c>
      <c r="G41" s="70">
        <f t="shared" si="28"/>
        <v>0</v>
      </c>
      <c r="H41" s="155">
        <f>F34+F35+F36+F37+F38+F42+F43+F45+F48+F49</f>
        <v>113.10000000000001</v>
      </c>
      <c r="I41" t="s">
        <v>107</v>
      </c>
      <c r="J41" s="6">
        <f>G55*0.6</f>
        <v>29.36316</v>
      </c>
      <c r="S41" s="24"/>
      <c r="T41" s="22"/>
      <c r="U41" s="22"/>
      <c r="V41" s="22"/>
      <c r="W41" s="26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I41" s="2"/>
      <c r="AJ41" s="2"/>
      <c r="AK41" s="2"/>
      <c r="AL41" s="2"/>
      <c r="AM41" s="2"/>
      <c r="AN41" s="5" t="str">
        <f>Data!P43</f>
        <v>f</v>
      </c>
      <c r="AO41" s="2" t="s">
        <v>198</v>
      </c>
      <c r="AP41" s="212">
        <f>Data!O9</f>
        <v>34.88</v>
      </c>
      <c r="AQ41" s="212">
        <f>AP41-AK51</f>
        <v>24.080000000000002</v>
      </c>
      <c r="AR41" s="2" t="str">
        <f>Data!P43</f>
        <v>f</v>
      </c>
      <c r="AS41" s="2">
        <f>IF(AN41="F",AQ41,AR41)</f>
        <v>24.080000000000002</v>
      </c>
      <c r="AU41" s="40" t="str">
        <f t="shared" si="29"/>
        <v>V2</v>
      </c>
      <c r="AV41" s="40">
        <f t="shared" si="30"/>
        <v>0</v>
      </c>
      <c r="AW41" s="63">
        <f t="shared" si="30"/>
        <v>0</v>
      </c>
      <c r="AX41" s="63">
        <f t="shared" si="30"/>
        <v>0</v>
      </c>
      <c r="AY41" s="40">
        <f t="shared" si="31"/>
        <v>0</v>
      </c>
      <c r="AZ41" s="40">
        <f t="shared" si="32"/>
        <v>0</v>
      </c>
      <c r="BA41" s="40">
        <f t="shared" si="33"/>
        <v>0</v>
      </c>
      <c r="BB41" s="63">
        <f t="shared" si="34"/>
        <v>0</v>
      </c>
      <c r="BC41" s="63">
        <f t="shared" si="35"/>
        <v>0</v>
      </c>
      <c r="BD41" s="40">
        <f t="shared" si="36"/>
        <v>0</v>
      </c>
      <c r="BE41" s="40">
        <v>0.89</v>
      </c>
      <c r="BF41" s="40">
        <f t="shared" si="37"/>
        <v>0</v>
      </c>
      <c r="BG41" s="99">
        <f t="shared" si="38"/>
        <v>0</v>
      </c>
    </row>
    <row r="42" spans="1:59" ht="13.5" thickBot="1">
      <c r="A42" s="3" t="str">
        <f>Data!B52</f>
        <v>Additional Room </v>
      </c>
      <c r="B42" s="3">
        <f>F42</f>
        <v>0</v>
      </c>
      <c r="C42" s="13">
        <f>Data!D52</f>
        <v>0</v>
      </c>
      <c r="D42" s="13">
        <f>Data!E52</f>
        <v>0</v>
      </c>
      <c r="F42" s="69">
        <f t="shared" si="27"/>
        <v>0</v>
      </c>
      <c r="G42" s="70">
        <f t="shared" si="28"/>
        <v>0</v>
      </c>
      <c r="H42" s="3">
        <f>H32+H33+H36+H38+H41</f>
        <v>156.42000000000002</v>
      </c>
      <c r="J42" s="3"/>
      <c r="O42" s="30"/>
      <c r="S42" s="24" t="s">
        <v>84</v>
      </c>
      <c r="T42" s="22"/>
      <c r="U42" s="22"/>
      <c r="V42" s="22"/>
      <c r="W42" s="26">
        <f>(PI()*AC38^2/4)*AC39</f>
        <v>0.5566509483079415</v>
      </c>
      <c r="X42" s="21"/>
      <c r="Y42" s="6" t="s">
        <v>311</v>
      </c>
      <c r="Z42" s="146" t="s">
        <v>89</v>
      </c>
      <c r="AA42" s="145"/>
      <c r="AB42" s="145"/>
      <c r="AC42" s="145" t="s">
        <v>47</v>
      </c>
      <c r="AD42" s="21"/>
      <c r="AE42" s="21"/>
      <c r="AF42" s="21"/>
      <c r="AG42" s="21"/>
      <c r="AI42" s="92" t="str">
        <f>Data!L41</f>
        <v>Sun Shade</v>
      </c>
      <c r="AJ42" s="2"/>
      <c r="AK42" s="2"/>
      <c r="AL42" s="94" t="s">
        <v>122</v>
      </c>
      <c r="AM42" s="2"/>
      <c r="AN42" s="93">
        <f>(AV42*AE7*2)+AY42</f>
        <v>35.3</v>
      </c>
      <c r="AO42" s="2"/>
      <c r="AP42" s="2"/>
      <c r="AQ42" s="2" t="s">
        <v>197</v>
      </c>
      <c r="AR42" s="2" t="s">
        <v>198</v>
      </c>
      <c r="AS42" s="2"/>
      <c r="AU42" s="40"/>
      <c r="AV42" s="40">
        <f>SUM(AV36:AV41)</f>
        <v>20</v>
      </c>
      <c r="AW42" s="63"/>
      <c r="AX42" s="63"/>
      <c r="AY42" s="40">
        <f>SUM(AY36:AY41)</f>
        <v>27.299999999999997</v>
      </c>
      <c r="AZ42" s="40"/>
      <c r="BA42" s="40"/>
      <c r="BB42" s="63"/>
      <c r="BC42" s="63"/>
      <c r="BD42" s="40"/>
      <c r="BE42" s="40"/>
      <c r="BF42" s="64">
        <f>SUM(BF36:BF41)</f>
        <v>311.32200000000006</v>
      </c>
      <c r="BG42" s="99"/>
    </row>
    <row r="43" spans="1:47" ht="13.5" thickBot="1">
      <c r="A43" s="3" t="str">
        <f>Data!B53</f>
        <v>Below Stair</v>
      </c>
      <c r="B43" s="3">
        <f>F43</f>
        <v>8</v>
      </c>
      <c r="C43" s="13">
        <f>Data!D53</f>
        <v>4</v>
      </c>
      <c r="D43" s="13">
        <f>Data!E53</f>
        <v>2</v>
      </c>
      <c r="F43" s="69">
        <f t="shared" si="27"/>
        <v>8</v>
      </c>
      <c r="G43" s="70">
        <f t="shared" si="28"/>
        <v>12</v>
      </c>
      <c r="I43" s="64" t="s">
        <v>177</v>
      </c>
      <c r="J43" s="40"/>
      <c r="K43" s="40"/>
      <c r="L43" s="40"/>
      <c r="M43" s="40"/>
      <c r="N43" s="40"/>
      <c r="O43" s="40"/>
      <c r="P43" s="358" t="s">
        <v>335</v>
      </c>
      <c r="Q43" s="358"/>
      <c r="S43" s="24"/>
      <c r="T43" s="22">
        <v>0.15</v>
      </c>
      <c r="U43" s="22"/>
      <c r="V43" s="22"/>
      <c r="W43" s="26">
        <f>(PI()*AC38^2/4)*T43</f>
        <v>0.023856469213197493</v>
      </c>
      <c r="X43" s="21"/>
      <c r="Y43" s="145"/>
      <c r="Z43" s="145" t="s">
        <v>80</v>
      </c>
      <c r="AA43" s="145" t="s">
        <v>11</v>
      </c>
      <c r="AB43" s="145" t="s">
        <v>33</v>
      </c>
      <c r="AC43" s="147" t="s">
        <v>12</v>
      </c>
      <c r="AD43" s="21"/>
      <c r="AE43" s="336" t="s">
        <v>313</v>
      </c>
      <c r="AF43" s="336" t="s">
        <v>197</v>
      </c>
      <c r="AG43" s="21">
        <f>AE47/AB47*0.1</f>
        <v>1.7282000000000002</v>
      </c>
      <c r="AI43" s="2"/>
      <c r="AJ43" s="2"/>
      <c r="AK43" s="2" t="str">
        <f>Data!L42</f>
        <v>Projection</v>
      </c>
      <c r="AL43" s="2"/>
      <c r="AM43" s="2"/>
      <c r="AN43" s="2"/>
      <c r="AO43" s="2" t="s">
        <v>221</v>
      </c>
      <c r="AP43" s="2"/>
      <c r="AQ43" s="301">
        <f>AS40</f>
        <v>24.4386</v>
      </c>
      <c r="AR43" s="302">
        <f>AS41</f>
        <v>24.080000000000002</v>
      </c>
      <c r="AS43" s="2"/>
      <c r="AU43" s="3" t="s">
        <v>235</v>
      </c>
    </row>
    <row r="44" spans="1:51" ht="12.75">
      <c r="A44" s="3" t="str">
        <f>Data!B54</f>
        <v>F.F</v>
      </c>
      <c r="B44" s="3"/>
      <c r="C44" s="13"/>
      <c r="D44" s="13"/>
      <c r="F44" s="156">
        <f>SUM(F32:F43)</f>
        <v>101.56</v>
      </c>
      <c r="G44" s="156">
        <f>SUM(G32:G43)</f>
        <v>126.7</v>
      </c>
      <c r="I44" s="40"/>
      <c r="J44" s="40" t="s">
        <v>178</v>
      </c>
      <c r="K44" s="40" t="s">
        <v>265</v>
      </c>
      <c r="L44" s="40" t="s">
        <v>264</v>
      </c>
      <c r="M44" s="63" t="s">
        <v>187</v>
      </c>
      <c r="N44" s="40" t="s">
        <v>68</v>
      </c>
      <c r="O44" s="40"/>
      <c r="P44" s="358" t="s">
        <v>336</v>
      </c>
      <c r="Q44" s="358" t="s">
        <v>265</v>
      </c>
      <c r="S44" s="22"/>
      <c r="T44" s="22"/>
      <c r="U44" s="22"/>
      <c r="V44" s="22"/>
      <c r="W44" s="26">
        <f>SUM(W42:W43)*AC40</f>
        <v>1.161014835042278</v>
      </c>
      <c r="X44" s="21"/>
      <c r="Y44" s="145"/>
      <c r="Z44" s="145"/>
      <c r="AA44" s="145"/>
      <c r="AB44" s="145"/>
      <c r="AC44" s="146">
        <f>AC49</f>
        <v>4.3566</v>
      </c>
      <c r="AD44" s="21"/>
      <c r="AE44" s="21"/>
      <c r="AF44" s="21" t="s">
        <v>198</v>
      </c>
      <c r="AG44" s="21">
        <f>AE48/AB48*0.1</f>
        <v>1.1762000000000001</v>
      </c>
      <c r="AI44" s="2"/>
      <c r="AJ44" s="2"/>
      <c r="AK44" s="2">
        <f>Data!M42</f>
        <v>0.6</v>
      </c>
      <c r="AL44" s="2" t="s">
        <v>123</v>
      </c>
      <c r="AM44" s="92">
        <f>AN42*AK44*AK45</f>
        <v>1.059</v>
      </c>
      <c r="AN44" s="2"/>
      <c r="AO44" s="2" t="s">
        <v>222</v>
      </c>
      <c r="AP44" s="2"/>
      <c r="AQ44" s="2">
        <f>AK44+G4</f>
        <v>0.8</v>
      </c>
      <c r="AR44" s="2">
        <f>AK44</f>
        <v>0.6</v>
      </c>
      <c r="AS44" s="2"/>
      <c r="AU44" s="40"/>
      <c r="AV44" s="40"/>
      <c r="AW44" s="40" t="s">
        <v>236</v>
      </c>
      <c r="AX44" s="40" t="s">
        <v>231</v>
      </c>
      <c r="AY44" s="40"/>
    </row>
    <row r="45" spans="1:54" ht="12.75">
      <c r="A45" s="7" t="str">
        <f>Data!B55</f>
        <v>Bed Room </v>
      </c>
      <c r="B45" s="7">
        <f>F45</f>
        <v>14</v>
      </c>
      <c r="C45" s="13">
        <f>Data!D55</f>
        <v>4</v>
      </c>
      <c r="D45" s="13">
        <f>Data!E55</f>
        <v>3.5</v>
      </c>
      <c r="F45" s="157">
        <f>C45*D45</f>
        <v>14</v>
      </c>
      <c r="G45" s="158">
        <f>(C45+D45)*2</f>
        <v>15</v>
      </c>
      <c r="I45" s="40" t="s">
        <v>197</v>
      </c>
      <c r="J45" s="64">
        <f>J39+J41</f>
        <v>210.43598</v>
      </c>
      <c r="K45" s="40">
        <f>(G44*J32)+F44</f>
        <v>481.66</v>
      </c>
      <c r="L45" s="40">
        <f>AS50*2</f>
        <v>58.72632</v>
      </c>
      <c r="M45" s="40">
        <f>AI59*2</f>
        <v>21.87</v>
      </c>
      <c r="N45" s="40">
        <f>AV30/2</f>
        <v>19.26</v>
      </c>
      <c r="O45" s="64">
        <f>J45+K45+L45+M45-N45</f>
        <v>753.4323</v>
      </c>
      <c r="P45" s="358">
        <f>J45+L45-N45</f>
        <v>249.90230000000003</v>
      </c>
      <c r="Q45" s="358">
        <f>K45+M45-N45</f>
        <v>484.27000000000004</v>
      </c>
      <c r="R45" s="21"/>
      <c r="S45" s="21"/>
      <c r="T45" s="21"/>
      <c r="U45" s="21"/>
      <c r="V45" s="21"/>
      <c r="W45" s="21"/>
      <c r="X45" s="21"/>
      <c r="Y45" s="145"/>
      <c r="Z45" s="145"/>
      <c r="AA45" s="145"/>
      <c r="AB45" s="145"/>
      <c r="AC45" s="145"/>
      <c r="AD45" s="21"/>
      <c r="AE45" s="21"/>
      <c r="AF45" s="21"/>
      <c r="AG45" s="21"/>
      <c r="AI45" s="2"/>
      <c r="AJ45" s="2"/>
      <c r="AK45" s="2">
        <f>Data!M43</f>
        <v>0.05</v>
      </c>
      <c r="AL45" s="2"/>
      <c r="AM45" s="2"/>
      <c r="AN45" s="2"/>
      <c r="AO45" s="2" t="s">
        <v>223</v>
      </c>
      <c r="AP45" s="2"/>
      <c r="AQ45" s="92">
        <f>AQ43*AQ44*AK45</f>
        <v>0.9775440000000002</v>
      </c>
      <c r="AR45" s="2">
        <f>AR44*AR43*AK45</f>
        <v>0.7224</v>
      </c>
      <c r="AS45" s="2"/>
      <c r="AU45" s="40" t="str">
        <f aca="true" t="shared" si="39" ref="AU45:AU50">AU36</f>
        <v>W1</v>
      </c>
      <c r="AV45" s="40">
        <v>1.66</v>
      </c>
      <c r="AW45" s="63">
        <f aca="true" t="shared" si="40" ref="AW45:AW50">AW36*AV36</f>
        <v>3</v>
      </c>
      <c r="AX45" s="40">
        <f aca="true" t="shared" si="41" ref="AX45:AX50">AW45*BG36</f>
        <v>12</v>
      </c>
      <c r="AY45" s="40">
        <f aca="true" t="shared" si="42" ref="AY45:AY50">AX45*AV45</f>
        <v>19.919999999999998</v>
      </c>
      <c r="BA45" s="103"/>
      <c r="BB45"/>
    </row>
    <row r="46" spans="1:51" ht="12.75">
      <c r="A46" s="3" t="str">
        <f>Data!B57</f>
        <v>Bath 1</v>
      </c>
      <c r="B46" s="3">
        <f>F46+F47</f>
        <v>8.06</v>
      </c>
      <c r="C46" s="13">
        <f>Data!D57</f>
        <v>2.6</v>
      </c>
      <c r="D46" s="13">
        <f>Data!E57</f>
        <v>1.6</v>
      </c>
      <c r="E46">
        <f>IF(F46=0,0,1)</f>
        <v>1</v>
      </c>
      <c r="F46" s="157">
        <f>C46*D46</f>
        <v>4.16</v>
      </c>
      <c r="G46" s="158">
        <f>(C46+D46)*2</f>
        <v>8.4</v>
      </c>
      <c r="I46" s="40" t="s">
        <v>198</v>
      </c>
      <c r="J46" s="64">
        <f>J40</f>
        <v>104.64000000000001</v>
      </c>
      <c r="K46" s="40">
        <f>(G50*J32)+F50</f>
        <v>225.86</v>
      </c>
      <c r="L46" s="40">
        <f>AS51*2</f>
        <v>41.856</v>
      </c>
      <c r="M46" s="40">
        <f>AH62*2</f>
        <v>3.9600000000000004</v>
      </c>
      <c r="N46" s="40">
        <f>AW30/2</f>
        <v>9.915</v>
      </c>
      <c r="O46" s="64">
        <f>J46+K46+L46+M46+-N46</f>
        <v>366.40099999999995</v>
      </c>
      <c r="P46" s="358">
        <f>J46+L46-N46</f>
        <v>136.58100000000002</v>
      </c>
      <c r="Q46" s="358">
        <f>K46+M46-N46</f>
        <v>219.90500000000003</v>
      </c>
      <c r="Y46" s="145"/>
      <c r="Z46" s="147"/>
      <c r="AA46" s="147"/>
      <c r="AB46" s="147"/>
      <c r="AC46" s="147" t="s">
        <v>12</v>
      </c>
      <c r="AE46" s="21"/>
      <c r="AF46" s="21"/>
      <c r="AG46" s="21"/>
      <c r="AI46" s="2"/>
      <c r="AJ46" s="2"/>
      <c r="AK46" s="2" t="s">
        <v>184</v>
      </c>
      <c r="AL46" s="2"/>
      <c r="AM46" s="92">
        <f>AN42*AK44</f>
        <v>21.179999999999996</v>
      </c>
      <c r="AN46" s="2"/>
      <c r="AO46" s="2" t="s">
        <v>224</v>
      </c>
      <c r="AP46" s="2"/>
      <c r="AQ46" s="95">
        <f>AR45+AQ45+AM44</f>
        <v>2.7589440000000005</v>
      </c>
      <c r="AR46" s="2"/>
      <c r="AS46" s="2"/>
      <c r="AU46" s="40" t="str">
        <f t="shared" si="39"/>
        <v>W2</v>
      </c>
      <c r="AV46" s="40">
        <v>1.66</v>
      </c>
      <c r="AW46" s="63">
        <f t="shared" si="40"/>
        <v>13.5</v>
      </c>
      <c r="AX46" s="40">
        <f t="shared" si="41"/>
        <v>97.2</v>
      </c>
      <c r="AY46" s="40">
        <f t="shared" si="42"/>
        <v>161.352</v>
      </c>
    </row>
    <row r="47" spans="1:51" ht="12.75">
      <c r="A47" s="3" t="str">
        <f>Data!B58</f>
        <v>Bath 2</v>
      </c>
      <c r="B47" s="3"/>
      <c r="C47" s="13">
        <f>Data!D58</f>
        <v>2.6</v>
      </c>
      <c r="D47" s="13">
        <f>Data!E58</f>
        <v>1.5</v>
      </c>
      <c r="E47">
        <f>IF(F47=0,0,1)</f>
        <v>1</v>
      </c>
      <c r="F47" s="157">
        <f>C47*D47</f>
        <v>3.9000000000000004</v>
      </c>
      <c r="G47" s="158">
        <f>(C47+D47)*2</f>
        <v>8.2</v>
      </c>
      <c r="I47" s="40"/>
      <c r="J47" s="40"/>
      <c r="K47" s="40"/>
      <c r="L47" s="40"/>
      <c r="M47" s="40"/>
      <c r="N47" s="40"/>
      <c r="O47" s="64">
        <f>SUM(O45:O46)</f>
        <v>1119.8333</v>
      </c>
      <c r="P47" s="358">
        <f>P45+P46+Q45+Q46</f>
        <v>1090.6583</v>
      </c>
      <c r="Q47" s="358"/>
      <c r="Y47" s="145" t="s">
        <v>197</v>
      </c>
      <c r="Z47" s="145"/>
      <c r="AA47" s="145"/>
      <c r="AB47" s="145">
        <f>Data!L39</f>
        <v>0.15</v>
      </c>
      <c r="AC47" s="146">
        <f>AE47</f>
        <v>2.5923</v>
      </c>
      <c r="AD47" s="21">
        <f>AC13+AC29+AU5</f>
        <v>51.846000000000004</v>
      </c>
      <c r="AE47" s="21">
        <f>(AD47/AF7)*AB47</f>
        <v>2.5923</v>
      </c>
      <c r="AF47" s="21"/>
      <c r="AG47" s="188"/>
      <c r="AI47" s="2"/>
      <c r="AJ47" s="2"/>
      <c r="AK47" s="2"/>
      <c r="AL47" s="2"/>
      <c r="AM47" s="2"/>
      <c r="AN47" s="2" t="s">
        <v>248</v>
      </c>
      <c r="AO47" s="2"/>
      <c r="AP47" s="2"/>
      <c r="AQ47" s="2">
        <f>AQ43*AK44</f>
        <v>14.66316</v>
      </c>
      <c r="AR47" s="2">
        <f>AR43*AK44</f>
        <v>14.448</v>
      </c>
      <c r="AS47" s="2"/>
      <c r="AU47" s="40" t="str">
        <f t="shared" si="39"/>
        <v>W3</v>
      </c>
      <c r="AV47" s="40">
        <v>1.66</v>
      </c>
      <c r="AW47" s="63">
        <f t="shared" si="40"/>
        <v>2.7</v>
      </c>
      <c r="AX47" s="40">
        <f t="shared" si="41"/>
        <v>12.96</v>
      </c>
      <c r="AY47" s="40">
        <f t="shared" si="42"/>
        <v>21.5136</v>
      </c>
    </row>
    <row r="48" spans="1:51" ht="12.75">
      <c r="A48" s="282" t="str">
        <f>Data!B59</f>
        <v>Additional Room </v>
      </c>
      <c r="B48" s="282">
        <f>F48</f>
        <v>10</v>
      </c>
      <c r="C48" s="13">
        <f>Data!D59</f>
        <v>5</v>
      </c>
      <c r="D48" s="13">
        <f>Data!E59</f>
        <v>2</v>
      </c>
      <c r="F48" s="157">
        <f>C48*D48</f>
        <v>10</v>
      </c>
      <c r="G48" s="158">
        <f>(C48+D48)*2</f>
        <v>14</v>
      </c>
      <c r="Q48" s="6" t="s">
        <v>302</v>
      </c>
      <c r="R48" s="9"/>
      <c r="S48" s="9"/>
      <c r="X48" s="21"/>
      <c r="Y48" s="145" t="s">
        <v>198</v>
      </c>
      <c r="Z48" s="145"/>
      <c r="AA48" s="145"/>
      <c r="AB48" s="145">
        <f>Data!L39</f>
        <v>0.15</v>
      </c>
      <c r="AC48" s="146">
        <f>AE48</f>
        <v>1.7643</v>
      </c>
      <c r="AD48">
        <f>AK21+AU6</f>
        <v>35.286</v>
      </c>
      <c r="AE48" s="21">
        <f>(AD48/AF8)*AB48</f>
        <v>1.7643</v>
      </c>
      <c r="AF48" s="21"/>
      <c r="AG48" s="21"/>
      <c r="AI48" s="2"/>
      <c r="AJ48" s="2"/>
      <c r="AK48" s="2"/>
      <c r="AL48" s="2"/>
      <c r="AM48" s="2"/>
      <c r="AN48" s="2"/>
      <c r="AO48" s="2"/>
      <c r="AP48" s="2" t="s">
        <v>221</v>
      </c>
      <c r="AQ48" s="2"/>
      <c r="AR48" s="2"/>
      <c r="AS48" s="2"/>
      <c r="AU48" s="40" t="str">
        <f t="shared" si="39"/>
        <v>W4</v>
      </c>
      <c r="AV48" s="40">
        <v>1.66</v>
      </c>
      <c r="AW48" s="63">
        <f t="shared" si="40"/>
        <v>1</v>
      </c>
      <c r="AX48" s="40">
        <f t="shared" si="41"/>
        <v>6</v>
      </c>
      <c r="AY48" s="40">
        <f t="shared" si="42"/>
        <v>9.959999999999999</v>
      </c>
    </row>
    <row r="49" spans="1:51" ht="12.75">
      <c r="A49" s="282" t="str">
        <f>Data!B56</f>
        <v>Bed Room </v>
      </c>
      <c r="B49" s="282">
        <f>F49</f>
        <v>13.2</v>
      </c>
      <c r="C49" s="13">
        <f>Data!D56</f>
        <v>4</v>
      </c>
      <c r="D49" s="13">
        <f>Data!E56</f>
        <v>3.3</v>
      </c>
      <c r="F49" s="157">
        <f>C49*D49</f>
        <v>13.2</v>
      </c>
      <c r="G49" s="158">
        <f>(C49+D49)*2</f>
        <v>14.6</v>
      </c>
      <c r="I49" s="39" t="s">
        <v>304</v>
      </c>
      <c r="J49" s="306">
        <f>Q49</f>
        <v>4</v>
      </c>
      <c r="K49" s="39">
        <f>R49</f>
        <v>15</v>
      </c>
      <c r="L49" s="39"/>
      <c r="M49" s="304">
        <f>O47</f>
        <v>1119.8333</v>
      </c>
      <c r="N49" s="39"/>
      <c r="O49" s="39"/>
      <c r="P49" s="307" t="s">
        <v>303</v>
      </c>
      <c r="Q49" s="308">
        <f>Data!J50</f>
        <v>4</v>
      </c>
      <c r="R49" s="84">
        <f>Data!J49</f>
        <v>15</v>
      </c>
      <c r="S49" s="84"/>
      <c r="T49" s="309">
        <v>12</v>
      </c>
      <c r="U49" s="309">
        <v>15</v>
      </c>
      <c r="V49" s="79">
        <f>IF(R49=12,T49,IF(R49=15,U49))</f>
        <v>15</v>
      </c>
      <c r="AC49" s="3">
        <f>AC47+AC48</f>
        <v>4.3566</v>
      </c>
      <c r="AE49">
        <f>AE47+AE48</f>
        <v>4.3566</v>
      </c>
      <c r="AI49" s="2"/>
      <c r="AJ49" s="5" t="s">
        <v>80</v>
      </c>
      <c r="AK49" s="5" t="s">
        <v>14</v>
      </c>
      <c r="AL49" s="5" t="s">
        <v>11</v>
      </c>
      <c r="AM49" s="5" t="s">
        <v>33</v>
      </c>
      <c r="AN49" s="5" t="s">
        <v>12</v>
      </c>
      <c r="AO49" s="2" t="s">
        <v>46</v>
      </c>
      <c r="AP49" s="5" t="s">
        <v>12</v>
      </c>
      <c r="AQ49" s="5" t="s">
        <v>46</v>
      </c>
      <c r="AR49" s="148" t="s">
        <v>252</v>
      </c>
      <c r="AS49" s="148" t="s">
        <v>46</v>
      </c>
      <c r="AU49" s="40" t="str">
        <f t="shared" si="39"/>
        <v>V1</v>
      </c>
      <c r="AV49" s="40">
        <v>1.66</v>
      </c>
      <c r="AW49" s="63">
        <f t="shared" si="40"/>
        <v>3.6</v>
      </c>
      <c r="AX49" s="40">
        <f t="shared" si="41"/>
        <v>8.64</v>
      </c>
      <c r="AY49" s="40">
        <f t="shared" si="42"/>
        <v>14.3424</v>
      </c>
    </row>
    <row r="50" spans="2:51" ht="12.75">
      <c r="B50">
        <f>SUM(B32:B49)</f>
        <v>146.82</v>
      </c>
      <c r="F50" s="159">
        <f>SUM(F45:F49)</f>
        <v>45.260000000000005</v>
      </c>
      <c r="G50" s="159">
        <f>SUM(G45:G49)</f>
        <v>60.199999999999996</v>
      </c>
      <c r="I50" s="39" t="s">
        <v>141</v>
      </c>
      <c r="J50" s="39"/>
      <c r="K50" s="39">
        <f>V54</f>
        <v>59</v>
      </c>
      <c r="L50" s="39" t="s">
        <v>164</v>
      </c>
      <c r="M50" s="39">
        <f>J63*K50/50</f>
        <v>0.039176</v>
      </c>
      <c r="N50" s="305" t="s">
        <v>168</v>
      </c>
      <c r="O50" s="39">
        <f>(M49*K50/10)/50</f>
        <v>132.14032939999998</v>
      </c>
      <c r="P50" s="80"/>
      <c r="Q50" s="80"/>
      <c r="R50" s="84">
        <f>R49</f>
        <v>15</v>
      </c>
      <c r="S50" s="309">
        <v>3</v>
      </c>
      <c r="T50" s="312">
        <v>66</v>
      </c>
      <c r="U50" s="312">
        <v>72</v>
      </c>
      <c r="V50" s="310">
        <f>IF(R50=12,T50,IF(R50=15,U50))</f>
        <v>72</v>
      </c>
      <c r="W50" s="149"/>
      <c r="X50" s="150" t="str">
        <f>Data!N46</f>
        <v>Thickness</v>
      </c>
      <c r="Y50" s="170"/>
      <c r="Z50" s="150">
        <f>Data!P46</f>
        <v>0.04</v>
      </c>
      <c r="AA50" s="150"/>
      <c r="AB50" s="150"/>
      <c r="AC50" s="150"/>
      <c r="AD50" s="149" t="s">
        <v>128</v>
      </c>
      <c r="AE50" s="150"/>
      <c r="AF50" s="150"/>
      <c r="AG50" s="150"/>
      <c r="AI50" s="92" t="s">
        <v>197</v>
      </c>
      <c r="AJ50" s="5">
        <f>AS31</f>
        <v>18.9</v>
      </c>
      <c r="AK50" s="5">
        <f>AN31*AE7*2+AJ50</f>
        <v>24.5</v>
      </c>
      <c r="AL50" s="5">
        <f>Data!M42</f>
        <v>0.6</v>
      </c>
      <c r="AM50" s="5">
        <f>Data!M43</f>
        <v>0.05</v>
      </c>
      <c r="AN50" s="152">
        <f>AM50*AL50*AK50</f>
        <v>0.735</v>
      </c>
      <c r="AO50" s="152">
        <f>AL50*AK50</f>
        <v>14.7</v>
      </c>
      <c r="AP50" s="152">
        <f>AQ45</f>
        <v>0.9775440000000002</v>
      </c>
      <c r="AQ50" s="152">
        <f>AQ47</f>
        <v>14.66316</v>
      </c>
      <c r="AR50" s="153">
        <f>AN50+AP50</f>
        <v>1.7125440000000003</v>
      </c>
      <c r="AS50" s="153">
        <f>AO50+AQ50</f>
        <v>29.36316</v>
      </c>
      <c r="AT50" s="3" t="s">
        <v>197</v>
      </c>
      <c r="AU50" s="40" t="str">
        <f t="shared" si="39"/>
        <v>V2</v>
      </c>
      <c r="AV50" s="40">
        <v>1.66</v>
      </c>
      <c r="AW50" s="63">
        <f t="shared" si="40"/>
        <v>0</v>
      </c>
      <c r="AX50" s="40">
        <f t="shared" si="41"/>
        <v>0</v>
      </c>
      <c r="AY50" s="40">
        <f t="shared" si="42"/>
        <v>0</v>
      </c>
    </row>
    <row r="51" spans="9:51" ht="12.75">
      <c r="I51" s="39" t="s">
        <v>142</v>
      </c>
      <c r="J51" s="39"/>
      <c r="K51" s="39"/>
      <c r="L51" s="39"/>
      <c r="M51" s="39">
        <f>M50*J49</f>
        <v>0.156704</v>
      </c>
      <c r="N51" s="305" t="s">
        <v>168</v>
      </c>
      <c r="O51" s="39">
        <f>M49*M51/10</f>
        <v>17.548235744320003</v>
      </c>
      <c r="P51" s="80"/>
      <c r="Q51" s="80"/>
      <c r="R51" s="84">
        <f>R50</f>
        <v>15</v>
      </c>
      <c r="S51" s="309">
        <v>4</v>
      </c>
      <c r="T51" s="312">
        <v>54</v>
      </c>
      <c r="U51" s="312">
        <v>59</v>
      </c>
      <c r="V51" s="310">
        <f>IF(R51=12,T51,IF(R51=15,U51))</f>
        <v>59</v>
      </c>
      <c r="W51" s="151" t="str">
        <f>Data!M47</f>
        <v>G.F</v>
      </c>
      <c r="X51" s="151" t="str">
        <f>Data!N47</f>
        <v>No</v>
      </c>
      <c r="Y51" s="151" t="str">
        <f>Data!O47</f>
        <v>L</v>
      </c>
      <c r="Z51" s="151" t="str">
        <f>Data!P47</f>
        <v>W</v>
      </c>
      <c r="AA51" s="170"/>
      <c r="AB51" s="170"/>
      <c r="AC51" s="170" t="s">
        <v>14</v>
      </c>
      <c r="AD51" s="170" t="s">
        <v>40</v>
      </c>
      <c r="AE51" s="170" t="s">
        <v>46</v>
      </c>
      <c r="AF51" s="170" t="s">
        <v>12</v>
      </c>
      <c r="AG51" s="150"/>
      <c r="AI51" s="92" t="s">
        <v>198</v>
      </c>
      <c r="AJ51" s="5">
        <f>AT31</f>
        <v>8.4</v>
      </c>
      <c r="AK51" s="5">
        <f>AO31*AE8*2+AJ51</f>
        <v>10.8</v>
      </c>
      <c r="AL51" s="5">
        <f>Data!M42</f>
        <v>0.6</v>
      </c>
      <c r="AM51" s="5">
        <f>Data!M43</f>
        <v>0.05</v>
      </c>
      <c r="AN51" s="152">
        <f>AM51*AL51*AK51</f>
        <v>0.324</v>
      </c>
      <c r="AO51" s="152">
        <f>AL51*AK51</f>
        <v>6.48</v>
      </c>
      <c r="AP51" s="152">
        <f>AR45</f>
        <v>0.7224</v>
      </c>
      <c r="AQ51" s="152">
        <f>AR47</f>
        <v>14.448</v>
      </c>
      <c r="AR51" s="153">
        <f>AN51+AP51</f>
        <v>1.0464</v>
      </c>
      <c r="AS51" s="153">
        <f>AO51+AQ51</f>
        <v>20.928</v>
      </c>
      <c r="AT51" s="3" t="s">
        <v>198</v>
      </c>
      <c r="AU51" s="40"/>
      <c r="AV51" s="40"/>
      <c r="AW51" s="40"/>
      <c r="AX51" s="40"/>
      <c r="AY51" s="64">
        <f>SUM(AY45:AY50)</f>
        <v>227.088</v>
      </c>
    </row>
    <row r="52" spans="1:45" ht="12.75">
      <c r="A52" t="s">
        <v>300</v>
      </c>
      <c r="B52" s="7">
        <f>B50+H38</f>
        <v>156.42</v>
      </c>
      <c r="E52" t="s">
        <v>109</v>
      </c>
      <c r="F52">
        <f>F44+F50</f>
        <v>146.82</v>
      </c>
      <c r="P52" s="80"/>
      <c r="Q52" s="80"/>
      <c r="R52" s="84">
        <f>R51</f>
        <v>15</v>
      </c>
      <c r="S52" s="309">
        <v>5</v>
      </c>
      <c r="T52" s="312">
        <v>43</v>
      </c>
      <c r="U52" s="312">
        <v>48</v>
      </c>
      <c r="V52" s="310">
        <f>IF(R52=12,T52,IF(R52=15,U52))</f>
        <v>48</v>
      </c>
      <c r="W52" s="150" t="str">
        <f>Data!M48</f>
        <v>W/A</v>
      </c>
      <c r="X52" s="150">
        <f>Data!N48</f>
        <v>2</v>
      </c>
      <c r="Y52" s="170">
        <f>Data!O48</f>
        <v>3</v>
      </c>
      <c r="Z52" s="170">
        <f>Data!P48</f>
        <v>0.45</v>
      </c>
      <c r="AA52" s="170">
        <f>Z50</f>
        <v>0.04</v>
      </c>
      <c r="AB52" s="170">
        <f aca="true" t="shared" si="43" ref="AB52:AB58">AE7</f>
        <v>0.2</v>
      </c>
      <c r="AC52" s="170">
        <f>Y52+2*AB52</f>
        <v>3.4</v>
      </c>
      <c r="AD52" s="170">
        <f>AB52+Z52</f>
        <v>0.65</v>
      </c>
      <c r="AE52" s="170">
        <f>AD52*AC52*X52</f>
        <v>4.42</v>
      </c>
      <c r="AF52" s="170">
        <f>AE52*AA52</f>
        <v>0.1768</v>
      </c>
      <c r="AG52" s="150"/>
      <c r="AH52">
        <f>X52*Z52*AC52</f>
        <v>3.06</v>
      </c>
      <c r="AI52" s="2"/>
      <c r="AJ52" s="2"/>
      <c r="AK52" s="2"/>
      <c r="AL52" s="2"/>
      <c r="AM52" s="2"/>
      <c r="AN52" s="95">
        <f aca="true" t="shared" si="44" ref="AN52:AS52">AN50+AN51</f>
        <v>1.059</v>
      </c>
      <c r="AO52" s="95">
        <f t="shared" si="44"/>
        <v>21.18</v>
      </c>
      <c r="AP52" s="95">
        <f t="shared" si="44"/>
        <v>1.6999440000000003</v>
      </c>
      <c r="AQ52" s="95">
        <f t="shared" si="44"/>
        <v>29.111159999999998</v>
      </c>
      <c r="AR52" s="153">
        <f t="shared" si="44"/>
        <v>2.7589440000000005</v>
      </c>
      <c r="AS52" s="153">
        <f t="shared" si="44"/>
        <v>50.291160000000005</v>
      </c>
    </row>
    <row r="53" spans="5:34" ht="12.75">
      <c r="E53" t="s">
        <v>110</v>
      </c>
      <c r="G53">
        <f>G44+G50</f>
        <v>186.9</v>
      </c>
      <c r="K53" s="3"/>
      <c r="P53" s="80"/>
      <c r="Q53" s="80"/>
      <c r="R53" s="84">
        <f>R52</f>
        <v>15</v>
      </c>
      <c r="S53" s="309">
        <v>6</v>
      </c>
      <c r="T53" s="312">
        <v>36</v>
      </c>
      <c r="U53" s="312">
        <v>40</v>
      </c>
      <c r="V53" s="310">
        <f>IF(R53=12,T53,IF(R53=15,U53))</f>
        <v>40</v>
      </c>
      <c r="W53" s="150">
        <f>Data!M49</f>
        <v>0</v>
      </c>
      <c r="X53" s="150">
        <f>Data!N49</f>
        <v>1</v>
      </c>
      <c r="Y53" s="170">
        <f>Data!O49</f>
        <v>2.5</v>
      </c>
      <c r="Z53" s="170">
        <f>Data!P49</f>
        <v>0.45</v>
      </c>
      <c r="AA53" s="170">
        <f>AA52</f>
        <v>0.04</v>
      </c>
      <c r="AB53" s="170">
        <f t="shared" si="43"/>
        <v>0.2</v>
      </c>
      <c r="AC53" s="170">
        <f aca="true" t="shared" si="45" ref="AC53:AC61">Y53+2*AB53</f>
        <v>2.9</v>
      </c>
      <c r="AD53" s="170">
        <f aca="true" t="shared" si="46" ref="AD53:AD61">AB53+Z53</f>
        <v>0.65</v>
      </c>
      <c r="AE53" s="170">
        <f aca="true" t="shared" si="47" ref="AE53:AE61">AD53*AC53*X53</f>
        <v>1.885</v>
      </c>
      <c r="AF53" s="170">
        <f aca="true" t="shared" si="48" ref="AF53:AF61">AE53*AA53</f>
        <v>0.07540000000000001</v>
      </c>
      <c r="AG53" s="150"/>
      <c r="AH53">
        <f aca="true" t="shared" si="49" ref="AH53:AH58">X53*Z53*AC53</f>
        <v>1.305</v>
      </c>
    </row>
    <row r="54" spans="1:34" ht="12.75">
      <c r="A54" s="454" t="s">
        <v>408</v>
      </c>
      <c r="B54" s="454"/>
      <c r="C54" s="157"/>
      <c r="H54" t="s">
        <v>404</v>
      </c>
      <c r="J54" s="3">
        <f>I57*G7*0.8</f>
        <v>36.561600000000006</v>
      </c>
      <c r="K54" s="3"/>
      <c r="P54" s="80"/>
      <c r="Q54" s="80"/>
      <c r="R54" s="80"/>
      <c r="S54" s="80"/>
      <c r="T54" s="80"/>
      <c r="U54" s="80"/>
      <c r="V54" s="311">
        <f>LOOKUP(Q49,S50:S53,V50:V53)</f>
        <v>59</v>
      </c>
      <c r="W54" s="150" t="str">
        <f>Data!M50</f>
        <v>K</v>
      </c>
      <c r="X54" s="150">
        <f>Data!N50</f>
        <v>1</v>
      </c>
      <c r="Y54" s="170">
        <f>Data!O50</f>
        <v>3</v>
      </c>
      <c r="Z54" s="170">
        <f>Data!P50</f>
        <v>0.45</v>
      </c>
      <c r="AA54" s="170">
        <f aca="true" t="shared" si="50" ref="AA54:AA61">AA53</f>
        <v>0.04</v>
      </c>
      <c r="AB54" s="170">
        <f t="shared" si="43"/>
        <v>0.2</v>
      </c>
      <c r="AC54" s="170">
        <f t="shared" si="45"/>
        <v>3.4</v>
      </c>
      <c r="AD54" s="170">
        <f t="shared" si="46"/>
        <v>0.65</v>
      </c>
      <c r="AE54" s="170">
        <f t="shared" si="47"/>
        <v>2.21</v>
      </c>
      <c r="AF54" s="170">
        <f t="shared" si="48"/>
        <v>0.0884</v>
      </c>
      <c r="AG54" s="150"/>
      <c r="AH54">
        <f t="shared" si="49"/>
        <v>1.53</v>
      </c>
    </row>
    <row r="55" spans="1:34" ht="12.75">
      <c r="A55" s="454" t="s">
        <v>46</v>
      </c>
      <c r="B55" s="454">
        <f>B52</f>
        <v>156.42</v>
      </c>
      <c r="C55" s="157"/>
      <c r="D55" s="28" t="s">
        <v>106</v>
      </c>
      <c r="G55">
        <f>Data!O8</f>
        <v>48.9386</v>
      </c>
      <c r="K55" s="3"/>
      <c r="W55" s="150">
        <f>Data!M51</f>
        <v>0</v>
      </c>
      <c r="X55" s="150">
        <f>Data!N51</f>
        <v>1</v>
      </c>
      <c r="Y55" s="170">
        <f>Data!O51</f>
        <v>3.5</v>
      </c>
      <c r="Z55" s="170">
        <f>Data!P51</f>
        <v>0.45</v>
      </c>
      <c r="AA55" s="170">
        <f t="shared" si="50"/>
        <v>0.04</v>
      </c>
      <c r="AB55" s="170">
        <f t="shared" si="43"/>
        <v>0.2</v>
      </c>
      <c r="AC55" s="170">
        <f t="shared" si="45"/>
        <v>3.9</v>
      </c>
      <c r="AD55" s="170">
        <f t="shared" si="46"/>
        <v>0.65</v>
      </c>
      <c r="AE55" s="170">
        <f t="shared" si="47"/>
        <v>2.535</v>
      </c>
      <c r="AF55" s="170">
        <f t="shared" si="48"/>
        <v>0.1014</v>
      </c>
      <c r="AG55" s="150"/>
      <c r="AH55">
        <f t="shared" si="49"/>
        <v>1.755</v>
      </c>
    </row>
    <row r="56" spans="1:34" ht="12.75">
      <c r="A56" s="454" t="s">
        <v>20</v>
      </c>
      <c r="B56" s="454">
        <f>B55*0.05</f>
        <v>7.821</v>
      </c>
      <c r="C56" s="157"/>
      <c r="D56" s="28" t="s">
        <v>105</v>
      </c>
      <c r="G56">
        <f>Data!O9</f>
        <v>34.88</v>
      </c>
      <c r="M56" t="s">
        <v>134</v>
      </c>
      <c r="N56" t="s">
        <v>135</v>
      </c>
      <c r="O56" t="s">
        <v>143</v>
      </c>
      <c r="W56" s="150" t="str">
        <f>Data!M52</f>
        <v>D</v>
      </c>
      <c r="X56" s="150">
        <f>Data!N52</f>
        <v>1</v>
      </c>
      <c r="Y56" s="170">
        <f>Data!O52</f>
        <v>2.5</v>
      </c>
      <c r="Z56" s="170">
        <f>Data!P52</f>
        <v>0.45</v>
      </c>
      <c r="AA56" s="170">
        <f t="shared" si="50"/>
        <v>0.04</v>
      </c>
      <c r="AB56" s="170">
        <f t="shared" si="43"/>
        <v>0.2</v>
      </c>
      <c r="AC56" s="170">
        <f t="shared" si="45"/>
        <v>2.9</v>
      </c>
      <c r="AD56" s="170">
        <f t="shared" si="46"/>
        <v>0.65</v>
      </c>
      <c r="AE56" s="170">
        <f t="shared" si="47"/>
        <v>1.885</v>
      </c>
      <c r="AF56" s="170">
        <f t="shared" si="48"/>
        <v>0.07540000000000001</v>
      </c>
      <c r="AG56" s="150"/>
      <c r="AH56">
        <f t="shared" si="49"/>
        <v>1.305</v>
      </c>
    </row>
    <row r="57" spans="1:34" ht="12.75">
      <c r="A57" s="454" t="s">
        <v>409</v>
      </c>
      <c r="B57" s="454">
        <v>43</v>
      </c>
      <c r="C57" s="157"/>
      <c r="D57" s="28" t="s">
        <v>107</v>
      </c>
      <c r="G57" s="32" t="s">
        <v>201</v>
      </c>
      <c r="H57" s="32"/>
      <c r="I57" s="33">
        <f>F44</f>
        <v>101.56</v>
      </c>
      <c r="J57" s="32"/>
      <c r="K57" s="32"/>
      <c r="L57" s="32"/>
      <c r="M57" s="32" t="s">
        <v>20</v>
      </c>
      <c r="N57" s="32"/>
      <c r="O57" s="32"/>
      <c r="P57" s="1"/>
      <c r="Q57" s="187" t="str">
        <f>Data!N13</f>
        <v>Extra Brick if any</v>
      </c>
      <c r="R57" s="185"/>
      <c r="S57" s="185"/>
      <c r="T57" s="185"/>
      <c r="U57" s="185"/>
      <c r="W57" s="150" t="str">
        <f>Data!M53</f>
        <v>BR</v>
      </c>
      <c r="X57" s="150">
        <f>Data!N53</f>
        <v>1</v>
      </c>
      <c r="Y57" s="170">
        <f>Data!O53</f>
        <v>4</v>
      </c>
      <c r="Z57" s="170">
        <f>Data!P53</f>
        <v>0.45</v>
      </c>
      <c r="AA57" s="170">
        <f t="shared" si="50"/>
        <v>0.04</v>
      </c>
      <c r="AB57" s="170">
        <f t="shared" si="43"/>
        <v>0.2</v>
      </c>
      <c r="AC57" s="170">
        <f t="shared" si="45"/>
        <v>4.4</v>
      </c>
      <c r="AD57" s="170">
        <f t="shared" si="46"/>
        <v>0.65</v>
      </c>
      <c r="AE57" s="170">
        <f t="shared" si="47"/>
        <v>2.8600000000000003</v>
      </c>
      <c r="AF57" s="170">
        <f t="shared" si="48"/>
        <v>0.11440000000000002</v>
      </c>
      <c r="AG57" s="150"/>
      <c r="AH57">
        <f t="shared" si="49"/>
        <v>1.9800000000000002</v>
      </c>
    </row>
    <row r="58" spans="1:41" ht="12.75">
      <c r="A58" s="454" t="s">
        <v>410</v>
      </c>
      <c r="B58" s="454">
        <f>B57/50</f>
        <v>0.86</v>
      </c>
      <c r="C58" s="157" t="s">
        <v>393</v>
      </c>
      <c r="G58" s="32"/>
      <c r="H58" s="33" t="s">
        <v>173</v>
      </c>
      <c r="I58" s="33">
        <f>I57*0.075</f>
        <v>7.617</v>
      </c>
      <c r="J58" s="32" t="s">
        <v>20</v>
      </c>
      <c r="K58" s="32" t="s">
        <v>202</v>
      </c>
      <c r="L58" s="32">
        <f>I58*171/50</f>
        <v>26.050140000000003</v>
      </c>
      <c r="M58" s="32"/>
      <c r="N58" s="32">
        <f>L58*4*J63</f>
        <v>3.4594585920000003</v>
      </c>
      <c r="O58" s="32">
        <f>L58*8*J63</f>
        <v>6.9189171840000006</v>
      </c>
      <c r="P58" s="1"/>
      <c r="Q58" s="185"/>
      <c r="R58" s="185" t="str">
        <f>Data!N14</f>
        <v>L</v>
      </c>
      <c r="S58" s="185" t="str">
        <f>Data!O14</f>
        <v>B</v>
      </c>
      <c r="T58" s="185" t="str">
        <f>Data!P14</f>
        <v>H</v>
      </c>
      <c r="U58" s="185"/>
      <c r="W58" s="150">
        <f>Data!M54</f>
        <v>0</v>
      </c>
      <c r="X58" s="150">
        <f>Data!N54</f>
        <v>0</v>
      </c>
      <c r="Y58" s="170">
        <f>Data!O54</f>
        <v>0</v>
      </c>
      <c r="Z58" s="170">
        <f>Data!P54</f>
        <v>0</v>
      </c>
      <c r="AA58" s="170">
        <f t="shared" si="50"/>
        <v>0.04</v>
      </c>
      <c r="AB58" s="170">
        <f t="shared" si="43"/>
        <v>0.2</v>
      </c>
      <c r="AC58" s="170">
        <f t="shared" si="45"/>
        <v>0.4</v>
      </c>
      <c r="AD58" s="170">
        <f t="shared" si="46"/>
        <v>0.2</v>
      </c>
      <c r="AE58" s="170">
        <f t="shared" si="47"/>
        <v>0</v>
      </c>
      <c r="AF58" s="170">
        <f t="shared" si="48"/>
        <v>0</v>
      </c>
      <c r="AG58" s="150"/>
      <c r="AH58">
        <f t="shared" si="49"/>
        <v>0</v>
      </c>
      <c r="AJ58" s="171" t="str">
        <f>Data!H31</f>
        <v>Beam</v>
      </c>
      <c r="AK58" s="171"/>
      <c r="AL58" s="171"/>
      <c r="AM58" s="171"/>
      <c r="AN58" s="171"/>
      <c r="AO58" s="171"/>
    </row>
    <row r="59" spans="1:41" ht="12.75">
      <c r="A59" s="454" t="s">
        <v>411</v>
      </c>
      <c r="B59" s="454">
        <f>B58*B56</f>
        <v>6.7260599999999995</v>
      </c>
      <c r="C59" s="157"/>
      <c r="D59" s="28" t="s">
        <v>133</v>
      </c>
      <c r="E59" s="28"/>
      <c r="Q59" s="185"/>
      <c r="R59" s="185">
        <f>Data!N15</f>
        <v>0</v>
      </c>
      <c r="S59" s="185">
        <f>Data!O15</f>
        <v>0</v>
      </c>
      <c r="T59" s="185">
        <f>Data!P15</f>
        <v>0</v>
      </c>
      <c r="U59" s="185">
        <f>((R59*S59)/2)*T59</f>
        <v>0</v>
      </c>
      <c r="W59" s="149" t="str">
        <f>Data!M55</f>
        <v>F.F</v>
      </c>
      <c r="X59" s="150"/>
      <c r="Y59" s="170"/>
      <c r="Z59" s="170"/>
      <c r="AA59" s="170"/>
      <c r="AB59" s="170"/>
      <c r="AC59" s="170"/>
      <c r="AD59" s="170"/>
      <c r="AE59" s="170"/>
      <c r="AF59" s="170"/>
      <c r="AG59" s="150"/>
      <c r="AI59" s="3">
        <f>SUM(AH52:AH58)</f>
        <v>10.935</v>
      </c>
      <c r="AJ59" s="171" t="str">
        <f>Data!H32</f>
        <v>G.F</v>
      </c>
      <c r="AK59" s="171" t="str">
        <f>Data!I32</f>
        <v>No</v>
      </c>
      <c r="AL59" s="171" t="str">
        <f>Data!J32</f>
        <v>L</v>
      </c>
      <c r="AM59" s="171" t="str">
        <f>Data!K32</f>
        <v>B</v>
      </c>
      <c r="AN59" s="171" t="str">
        <f>Data!L32</f>
        <v>H</v>
      </c>
      <c r="AO59" s="171" t="s">
        <v>12</v>
      </c>
    </row>
    <row r="60" spans="5:41" ht="12.75">
      <c r="E60" s="3" t="s">
        <v>134</v>
      </c>
      <c r="F60" s="3" t="s">
        <v>135</v>
      </c>
      <c r="G60" s="3" t="s">
        <v>136</v>
      </c>
      <c r="H60" t="s">
        <v>137</v>
      </c>
      <c r="K60">
        <v>1.45</v>
      </c>
      <c r="L60" t="s">
        <v>20</v>
      </c>
      <c r="Q60" s="185"/>
      <c r="R60" s="185">
        <f>Data!N16</f>
        <v>0</v>
      </c>
      <c r="S60" s="185">
        <f>Data!O16</f>
        <v>0</v>
      </c>
      <c r="T60" s="185">
        <f>Data!P16</f>
        <v>0</v>
      </c>
      <c r="U60" s="185">
        <f>((R60*S60)/2)*T60</f>
        <v>0</v>
      </c>
      <c r="W60" s="150" t="str">
        <f>Data!M56</f>
        <v>BR</v>
      </c>
      <c r="X60" s="150">
        <f>Data!N56</f>
        <v>1</v>
      </c>
      <c r="Y60" s="170">
        <f>Data!O56</f>
        <v>4</v>
      </c>
      <c r="Z60" s="170">
        <f>Data!P56</f>
        <v>0.45</v>
      </c>
      <c r="AA60" s="170">
        <f>AA52</f>
        <v>0.04</v>
      </c>
      <c r="AB60" s="170">
        <f>AE15</f>
        <v>0.2</v>
      </c>
      <c r="AC60" s="170">
        <f t="shared" si="45"/>
        <v>4.4</v>
      </c>
      <c r="AD60" s="170">
        <f t="shared" si="46"/>
        <v>0.65</v>
      </c>
      <c r="AE60" s="170">
        <f t="shared" si="47"/>
        <v>2.8600000000000003</v>
      </c>
      <c r="AF60" s="170">
        <f t="shared" si="48"/>
        <v>0.11440000000000002</v>
      </c>
      <c r="AG60" s="150"/>
      <c r="AH60">
        <f>X60*Z60*AC60</f>
        <v>1.9800000000000002</v>
      </c>
      <c r="AJ60" s="171">
        <f>Data!H33</f>
        <v>0</v>
      </c>
      <c r="AK60" s="171">
        <f>Data!I33</f>
        <v>1</v>
      </c>
      <c r="AL60" s="171">
        <f>Data!J33</f>
        <v>4.14</v>
      </c>
      <c r="AM60" s="171">
        <f>Data!K33</f>
        <v>0.25</v>
      </c>
      <c r="AN60" s="171">
        <f>Data!L33</f>
        <v>0.3</v>
      </c>
      <c r="AO60" s="171">
        <f>AL60*AM60*AN60</f>
        <v>0.31049999999999994</v>
      </c>
    </row>
    <row r="61" spans="4:41" ht="12.75">
      <c r="D61">
        <v>1</v>
      </c>
      <c r="E61">
        <v>1</v>
      </c>
      <c r="F61">
        <v>2</v>
      </c>
      <c r="G61">
        <v>4</v>
      </c>
      <c r="H61" s="3">
        <f>E61+F61+G61</f>
        <v>7</v>
      </c>
      <c r="K61">
        <f>K60</f>
        <v>1.45</v>
      </c>
      <c r="Q61" s="185"/>
      <c r="R61" s="185">
        <f>Data!N17</f>
        <v>0</v>
      </c>
      <c r="S61" s="185">
        <f>Data!O17</f>
        <v>0</v>
      </c>
      <c r="T61" s="185">
        <f>Data!P17</f>
        <v>0</v>
      </c>
      <c r="U61" s="185">
        <f>((R61*S61)/2)*T61</f>
        <v>0</v>
      </c>
      <c r="W61" s="150">
        <f>Data!M57</f>
        <v>0</v>
      </c>
      <c r="X61" s="150">
        <f>Data!N57</f>
        <v>0</v>
      </c>
      <c r="Y61" s="170">
        <f>Data!O57</f>
        <v>0</v>
      </c>
      <c r="Z61" s="170">
        <f>Data!P57</f>
        <v>0</v>
      </c>
      <c r="AA61" s="170">
        <f t="shared" si="50"/>
        <v>0.04</v>
      </c>
      <c r="AB61" s="170">
        <f>AE16</f>
        <v>0.2</v>
      </c>
      <c r="AC61" s="170">
        <f t="shared" si="45"/>
        <v>0.4</v>
      </c>
      <c r="AD61" s="170">
        <f t="shared" si="46"/>
        <v>0.2</v>
      </c>
      <c r="AE61" s="170">
        <f t="shared" si="47"/>
        <v>0</v>
      </c>
      <c r="AF61" s="170">
        <f t="shared" si="48"/>
        <v>0</v>
      </c>
      <c r="AG61" s="150"/>
      <c r="AH61">
        <f>X61*Z61*AC61</f>
        <v>0</v>
      </c>
      <c r="AJ61" s="171">
        <f>Data!H34</f>
        <v>0</v>
      </c>
      <c r="AK61" s="171">
        <f>Data!I34</f>
        <v>1</v>
      </c>
      <c r="AL61" s="171">
        <f>Data!J34</f>
        <v>2.48</v>
      </c>
      <c r="AM61" s="171">
        <f>Data!K34</f>
        <v>0.25</v>
      </c>
      <c r="AN61" s="171">
        <f>Data!L34</f>
        <v>0.3</v>
      </c>
      <c r="AO61" s="171">
        <f>AL61*AM61*AN61</f>
        <v>0.186</v>
      </c>
    </row>
    <row r="62" spans="5:41" ht="12.75">
      <c r="E62">
        <v>1</v>
      </c>
      <c r="F62">
        <v>1.5</v>
      </c>
      <c r="G62">
        <v>3</v>
      </c>
      <c r="H62" s="3">
        <f>E62+F62+G62</f>
        <v>5.5</v>
      </c>
      <c r="K62" t="s">
        <v>91</v>
      </c>
      <c r="L62" s="38">
        <f>R90</f>
        <v>32.86886731922021</v>
      </c>
      <c r="Q62" s="185"/>
      <c r="R62" s="185">
        <f>Data!N18</f>
        <v>0</v>
      </c>
      <c r="S62" s="185">
        <f>Data!O18</f>
        <v>0</v>
      </c>
      <c r="T62" s="185">
        <f>Data!P18</f>
        <v>0</v>
      </c>
      <c r="U62" s="185">
        <f>((R62*S62)/2)*T62</f>
        <v>0</v>
      </c>
      <c r="W62" s="150"/>
      <c r="X62" s="150"/>
      <c r="Y62" s="150"/>
      <c r="Z62" s="150"/>
      <c r="AA62" s="150"/>
      <c r="AB62" s="150"/>
      <c r="AC62" s="150"/>
      <c r="AD62" s="150"/>
      <c r="AE62" s="149" t="s">
        <v>197</v>
      </c>
      <c r="AF62" s="149" t="s">
        <v>198</v>
      </c>
      <c r="AG62" s="149" t="s">
        <v>47</v>
      </c>
      <c r="AH62">
        <f>SUM(AH60:AH61)</f>
        <v>1.9800000000000002</v>
      </c>
      <c r="AJ62" s="171">
        <f>Data!H35</f>
        <v>0</v>
      </c>
      <c r="AK62" s="171">
        <f>Data!I35</f>
        <v>1</v>
      </c>
      <c r="AL62" s="171">
        <f>Data!J35</f>
        <v>1.65</v>
      </c>
      <c r="AM62" s="171">
        <f>Data!K35</f>
        <v>0.25</v>
      </c>
      <c r="AN62" s="171">
        <f>Data!L35</f>
        <v>0.3</v>
      </c>
      <c r="AO62" s="171">
        <f>AL62*AM62*AN62</f>
        <v>0.12374999999999999</v>
      </c>
    </row>
    <row r="63" spans="4:42" ht="12.75">
      <c r="D63" t="s">
        <v>138</v>
      </c>
      <c r="E63">
        <f>K60*E61/H61</f>
        <v>0.20714285714285713</v>
      </c>
      <c r="F63">
        <f>K60*F61/H61</f>
        <v>0.41428571428571426</v>
      </c>
      <c r="G63">
        <f>K60*G61/H61</f>
        <v>0.8285714285714285</v>
      </c>
      <c r="I63" t="s">
        <v>140</v>
      </c>
      <c r="J63" s="3">
        <v>0.0332</v>
      </c>
      <c r="Q63" s="185"/>
      <c r="R63" s="185">
        <f>Data!N19</f>
        <v>0</v>
      </c>
      <c r="S63" s="185">
        <f>Data!O19</f>
        <v>0</v>
      </c>
      <c r="T63" s="185">
        <f>Data!P19</f>
        <v>0</v>
      </c>
      <c r="U63" s="185">
        <f>((R63*S63)/2)*T63</f>
        <v>0</v>
      </c>
      <c r="Z63" s="16" t="s">
        <v>46</v>
      </c>
      <c r="AA63" t="s">
        <v>266</v>
      </c>
      <c r="AD63" s="105" t="s">
        <v>46</v>
      </c>
      <c r="AE63" s="105">
        <f>AE52+AE53+AE54+AE55+AE56+AE57+AE58</f>
        <v>15.795000000000002</v>
      </c>
      <c r="AF63" s="105">
        <f>AE60+AE61</f>
        <v>2.8600000000000003</v>
      </c>
      <c r="AG63" s="105">
        <f>AF63+AE63</f>
        <v>18.655</v>
      </c>
      <c r="AJ63" s="171" t="str">
        <f>Data!H36</f>
        <v>F.F</v>
      </c>
      <c r="AK63" s="171"/>
      <c r="AL63" s="171"/>
      <c r="AM63" s="171"/>
      <c r="AN63" s="171"/>
      <c r="AO63" s="172"/>
      <c r="AP63">
        <f>AO60+AO61+AO62</f>
        <v>0.62025</v>
      </c>
    </row>
    <row r="64" spans="4:41" ht="12.75">
      <c r="D64" t="s">
        <v>139</v>
      </c>
      <c r="E64">
        <f>K61*E62/H62</f>
        <v>0.2636363636363636</v>
      </c>
      <c r="F64">
        <f>K61*F62/H62</f>
        <v>0.39545454545454545</v>
      </c>
      <c r="G64">
        <f>K61*G62/H62</f>
        <v>0.7909090909090909</v>
      </c>
      <c r="O64" s="13"/>
      <c r="Q64" s="185"/>
      <c r="R64" s="185"/>
      <c r="S64" s="185" t="s">
        <v>203</v>
      </c>
      <c r="T64" s="185"/>
      <c r="U64" s="186">
        <f>SUM(U59:U63)</f>
        <v>0</v>
      </c>
      <c r="AD64" s="105" t="s">
        <v>252</v>
      </c>
      <c r="AE64" s="105">
        <f>AF52+AF53+AF54+AF55+AF56+AF57+AF58</f>
        <v>0.6318</v>
      </c>
      <c r="AF64" s="105">
        <f>AF60+AF61</f>
        <v>0.11440000000000002</v>
      </c>
      <c r="AG64" s="105">
        <f>AF64+AE64</f>
        <v>0.7462000000000001</v>
      </c>
      <c r="AJ64" s="171"/>
      <c r="AK64" s="171">
        <f>Data!I36</f>
        <v>0</v>
      </c>
      <c r="AL64" s="171">
        <f>Data!J36</f>
        <v>0</v>
      </c>
      <c r="AM64" s="171">
        <f>Data!K36</f>
        <v>0</v>
      </c>
      <c r="AN64" s="171">
        <f>Data!L36</f>
        <v>0</v>
      </c>
      <c r="AO64" s="171">
        <f>AN64*AM64*AL64*AK64</f>
        <v>0</v>
      </c>
    </row>
    <row r="65" spans="12:41" ht="12.75">
      <c r="L65" t="s">
        <v>210</v>
      </c>
      <c r="M65" s="13" t="s">
        <v>213</v>
      </c>
      <c r="N65" t="s">
        <v>211</v>
      </c>
      <c r="O65" s="13" t="s">
        <v>214</v>
      </c>
      <c r="P65" t="s">
        <v>212</v>
      </c>
      <c r="AJ65" s="171"/>
      <c r="AK65" s="171">
        <f>Data!I37</f>
        <v>0</v>
      </c>
      <c r="AL65" s="171">
        <f>Data!J37</f>
        <v>0</v>
      </c>
      <c r="AM65" s="171">
        <f>Data!K37</f>
        <v>0</v>
      </c>
      <c r="AN65" s="171">
        <f>Data!L37</f>
        <v>0</v>
      </c>
      <c r="AO65" s="171">
        <f>AN65*AM65*AL65*AK65</f>
        <v>0</v>
      </c>
    </row>
    <row r="66" spans="4:41" ht="12.75">
      <c r="D66" s="10" t="s">
        <v>138</v>
      </c>
      <c r="E66" s="10">
        <f>L62*E63/J63</f>
        <v>205.07683998652882</v>
      </c>
      <c r="F66" s="10">
        <f>L62*F63</f>
        <v>13.617102175105513</v>
      </c>
      <c r="G66" s="10">
        <f>L62*G63</f>
        <v>27.234204350211026</v>
      </c>
      <c r="L66">
        <f>L68</f>
        <v>12.812624999999999</v>
      </c>
      <c r="N66" s="89">
        <f>P66-L68</f>
        <v>31.111500000000007</v>
      </c>
      <c r="P66" s="89">
        <f>R82</f>
        <v>43.924125000000004</v>
      </c>
      <c r="AJ66" s="171"/>
      <c r="AK66" s="171">
        <f>Data!I38</f>
        <v>0</v>
      </c>
      <c r="AL66" s="171">
        <f>Data!J38</f>
        <v>0</v>
      </c>
      <c r="AM66" s="171">
        <f>Data!K38</f>
        <v>0</v>
      </c>
      <c r="AN66" s="171">
        <f>Data!L38</f>
        <v>0</v>
      </c>
      <c r="AO66" s="171">
        <f>AN66*AM66*AL66*AK66</f>
        <v>0</v>
      </c>
    </row>
    <row r="67" spans="4:42" ht="12.75">
      <c r="D67" s="9" t="s">
        <v>139</v>
      </c>
      <c r="E67" s="9">
        <f>L62*E64/J63</f>
        <v>261.0068872555821</v>
      </c>
      <c r="F67" s="9">
        <f>L62*F64</f>
        <v>12.998142985327991</v>
      </c>
      <c r="G67" s="9">
        <f>L62*G64</f>
        <v>25.996285970655983</v>
      </c>
      <c r="L67" s="87" t="s">
        <v>209</v>
      </c>
      <c r="M67" s="88"/>
      <c r="N67" s="88"/>
      <c r="O67" s="88"/>
      <c r="P67" s="88">
        <f>Data!D11</f>
        <v>6</v>
      </c>
      <c r="Q67" s="90" t="s">
        <v>206</v>
      </c>
      <c r="R67" s="91">
        <v>5</v>
      </c>
      <c r="S67" s="88">
        <v>86</v>
      </c>
      <c r="U67" s="74" t="s">
        <v>181</v>
      </c>
      <c r="AE67" s="21"/>
      <c r="AJ67" s="173"/>
      <c r="AK67" s="173"/>
      <c r="AL67" s="173"/>
      <c r="AM67" s="173"/>
      <c r="AN67" s="173"/>
      <c r="AO67" s="174"/>
      <c r="AP67">
        <f>AO64+AO65+AO66</f>
        <v>0</v>
      </c>
    </row>
    <row r="68" spans="4:30" ht="12.75">
      <c r="D68">
        <f>Data!O22</f>
        <v>15</v>
      </c>
      <c r="E68">
        <f>IF(D68=15,E66,E67)</f>
        <v>205.07683998652882</v>
      </c>
      <c r="F68">
        <f>IF(D68=15,F66,F67)</f>
        <v>13.617102175105513</v>
      </c>
      <c r="G68">
        <f>IF(D68=15,G66,G67)</f>
        <v>27.234204350211026</v>
      </c>
      <c r="L68" s="88">
        <f>AC5+AC23</f>
        <v>12.812624999999999</v>
      </c>
      <c r="M68" s="88" t="s">
        <v>217</v>
      </c>
      <c r="N68" s="88" t="s">
        <v>20</v>
      </c>
      <c r="O68" s="88"/>
      <c r="P68" s="88"/>
      <c r="Q68" s="90" t="s">
        <v>206</v>
      </c>
      <c r="R68" s="91">
        <v>6</v>
      </c>
      <c r="S68" s="88">
        <v>72</v>
      </c>
      <c r="U68" s="21" t="s">
        <v>190</v>
      </c>
      <c r="V68" s="21"/>
      <c r="W68" s="21"/>
      <c r="X68" s="21"/>
      <c r="Y68" s="175">
        <f>S78</f>
        <v>0.62025</v>
      </c>
      <c r="Z68" s="21"/>
      <c r="AA68" s="73" t="s">
        <v>188</v>
      </c>
      <c r="AB68" s="21"/>
      <c r="AC68" s="21"/>
      <c r="AD68" s="21"/>
    </row>
    <row r="69" spans="4:30" ht="12.75">
      <c r="D69" s="79" t="s">
        <v>167</v>
      </c>
      <c r="E69" s="80"/>
      <c r="F69" s="80"/>
      <c r="G69" s="80"/>
      <c r="H69" s="80"/>
      <c r="I69" s="80"/>
      <c r="J69" s="80"/>
      <c r="L69" s="88" t="s">
        <v>134</v>
      </c>
      <c r="M69" s="88">
        <f>LOOKUP(P67,R67:R69,S67:S69)</f>
        <v>72</v>
      </c>
      <c r="N69" s="88">
        <f>(M69/50)*J63</f>
        <v>0.047807999999999996</v>
      </c>
      <c r="O69" s="87">
        <f>L68*M69/50</f>
        <v>18.45018</v>
      </c>
      <c r="P69" s="88"/>
      <c r="Q69" s="90" t="s">
        <v>206</v>
      </c>
      <c r="R69" s="91">
        <v>8</v>
      </c>
      <c r="S69" s="88">
        <v>54</v>
      </c>
      <c r="U69" t="s">
        <v>191</v>
      </c>
      <c r="Y69">
        <f>AC44</f>
        <v>4.3566</v>
      </c>
      <c r="AA69" t="s">
        <v>186</v>
      </c>
      <c r="AD69">
        <f>AI29</f>
        <v>125.53</v>
      </c>
    </row>
    <row r="70" spans="4:30" ht="12.75">
      <c r="D70" s="80"/>
      <c r="E70" s="80"/>
      <c r="F70" s="80"/>
      <c r="G70" s="80"/>
      <c r="H70" s="80" t="s">
        <v>205</v>
      </c>
      <c r="I70" s="80"/>
      <c r="J70" s="81" t="s">
        <v>207</v>
      </c>
      <c r="L70" s="88" t="s">
        <v>135</v>
      </c>
      <c r="M70" s="88"/>
      <c r="N70" s="88">
        <f>N69*P67</f>
        <v>0.286848</v>
      </c>
      <c r="O70" s="87">
        <f>L68*N70</f>
        <v>3.6752758559999994</v>
      </c>
      <c r="P70" s="88"/>
      <c r="Q70" s="88"/>
      <c r="R70" s="88"/>
      <c r="S70" s="88"/>
      <c r="U70" t="s">
        <v>192</v>
      </c>
      <c r="Y70">
        <f>Calculation01!P116</f>
        <v>0.8869733192202056</v>
      </c>
      <c r="AA70" t="s">
        <v>185</v>
      </c>
      <c r="AD70">
        <f>AI30</f>
        <v>64.3</v>
      </c>
    </row>
    <row r="71" spans="4:31" ht="12.75">
      <c r="D71" s="79">
        <f>Data!J8</f>
        <v>6</v>
      </c>
      <c r="E71" s="80"/>
      <c r="F71" s="80"/>
      <c r="G71" s="80"/>
      <c r="H71" s="82" t="s">
        <v>206</v>
      </c>
      <c r="I71" s="83">
        <v>5</v>
      </c>
      <c r="J71" s="84">
        <v>72</v>
      </c>
      <c r="L71" s="21"/>
      <c r="M71" s="21"/>
      <c r="N71" s="21"/>
      <c r="O71" s="21"/>
      <c r="P71" s="21"/>
      <c r="Q71" s="21"/>
      <c r="R71" s="21"/>
      <c r="S71" s="21"/>
      <c r="AA71" t="s">
        <v>187</v>
      </c>
      <c r="AE71">
        <f>AG63</f>
        <v>18.655</v>
      </c>
    </row>
    <row r="72" spans="4:31" ht="12.75">
      <c r="D72" s="80">
        <f>LOOKUP(D71,I71:I73,J71:J73)</f>
        <v>58</v>
      </c>
      <c r="E72" s="80"/>
      <c r="F72" s="80"/>
      <c r="G72" s="80"/>
      <c r="H72" s="82" t="s">
        <v>206</v>
      </c>
      <c r="I72" s="83">
        <v>6</v>
      </c>
      <c r="J72" s="84">
        <v>58</v>
      </c>
      <c r="Y72">
        <f>SUM(Y68:Y71)</f>
        <v>5.863823319220206</v>
      </c>
      <c r="AA72" t="s">
        <v>189</v>
      </c>
      <c r="AE72">
        <f>AM46</f>
        <v>21.179999999999996</v>
      </c>
    </row>
    <row r="73" spans="4:31" ht="12.75">
      <c r="D73" s="80"/>
      <c r="E73" s="80"/>
      <c r="F73" s="80"/>
      <c r="G73" s="80"/>
      <c r="H73" s="82" t="s">
        <v>206</v>
      </c>
      <c r="I73" s="83">
        <v>8</v>
      </c>
      <c r="J73" s="84">
        <v>43</v>
      </c>
      <c r="U73">
        <f>Data!O28</f>
        <v>2.5</v>
      </c>
      <c r="V73" t="str">
        <f>Data!P28</f>
        <v>%</v>
      </c>
      <c r="Y73">
        <f>Y72*U73/100</f>
        <v>0.14659558298050515</v>
      </c>
      <c r="AD73" s="3">
        <f>SUM(AD69:AD72)</f>
        <v>189.82999999999998</v>
      </c>
      <c r="AE73">
        <f>AE71+AE72</f>
        <v>39.834999999999994</v>
      </c>
    </row>
    <row r="74" spans="4:33" ht="12.75">
      <c r="D74" s="80"/>
      <c r="E74" s="80"/>
      <c r="F74" s="80"/>
      <c r="G74" s="80"/>
      <c r="H74" s="80"/>
      <c r="I74" s="80"/>
      <c r="J74" s="80"/>
      <c r="Y74" s="3">
        <f>Y73*7.9</f>
        <v>1.1581051055459908</v>
      </c>
      <c r="AA74">
        <f>Data!O29</f>
        <v>9</v>
      </c>
      <c r="AB74" t="str">
        <f>Data!P29</f>
        <v>kg/sqm</v>
      </c>
      <c r="AD74">
        <f>AD73*AA74/1000</f>
        <v>1.7084699999999997</v>
      </c>
      <c r="AE74">
        <f>AE73*AA75/1000</f>
        <v>0.31867999999999996</v>
      </c>
      <c r="AG74" t="s">
        <v>193</v>
      </c>
    </row>
    <row r="75" spans="4:28" ht="12.75">
      <c r="D75" s="79" t="s">
        <v>208</v>
      </c>
      <c r="E75" s="86">
        <f>D71</f>
        <v>6</v>
      </c>
      <c r="F75" s="80"/>
      <c r="G75" s="85">
        <f>R84</f>
        <v>78.3486140951831</v>
      </c>
      <c r="H75" s="80"/>
      <c r="I75" s="80"/>
      <c r="J75" s="80"/>
      <c r="L75" s="13" t="s">
        <v>91</v>
      </c>
      <c r="M75" s="13" t="s">
        <v>182</v>
      </c>
      <c r="N75" s="332" t="s">
        <v>191</v>
      </c>
      <c r="O75" s="13" t="s">
        <v>128</v>
      </c>
      <c r="P75" s="13" t="s">
        <v>273</v>
      </c>
      <c r="Q75" s="13" t="s">
        <v>100</v>
      </c>
      <c r="R75" s="13" t="s">
        <v>79</v>
      </c>
      <c r="S75" s="13" t="s">
        <v>169</v>
      </c>
      <c r="T75" s="13" t="s">
        <v>314</v>
      </c>
      <c r="AA75">
        <v>8</v>
      </c>
      <c r="AB75" t="str">
        <f>AB74</f>
        <v>kg/sqm</v>
      </c>
    </row>
    <row r="76" spans="4:30" ht="12.75">
      <c r="D76" s="80" t="s">
        <v>166</v>
      </c>
      <c r="E76" s="80"/>
      <c r="F76" s="80">
        <f>D72</f>
        <v>58</v>
      </c>
      <c r="G76" s="80" t="s">
        <v>164</v>
      </c>
      <c r="H76" s="80">
        <f>(F76/50)*J63</f>
        <v>0.038512</v>
      </c>
      <c r="I76" s="80" t="s">
        <v>20</v>
      </c>
      <c r="J76" s="80">
        <f>G75*F76/50</f>
        <v>90.88439235041238</v>
      </c>
      <c r="L76" s="13" t="s">
        <v>197</v>
      </c>
      <c r="M76" s="13">
        <f>AL33</f>
        <v>12.313</v>
      </c>
      <c r="N76" s="332">
        <f>AC47</f>
        <v>2.5923</v>
      </c>
      <c r="O76" s="13">
        <f>AE64</f>
        <v>0.6318</v>
      </c>
      <c r="P76" s="13">
        <f>AR50</f>
        <v>1.7125440000000003</v>
      </c>
      <c r="Q76" s="13">
        <f>AK34</f>
        <v>0.8869733192202056</v>
      </c>
      <c r="R76" s="13">
        <f>AG38+AG39</f>
        <v>1.8525</v>
      </c>
      <c r="S76" s="13">
        <f>AP63</f>
        <v>0.62025</v>
      </c>
      <c r="T76">
        <f>AG43</f>
        <v>1.7282000000000002</v>
      </c>
      <c r="U76" s="6">
        <f>M76+N76+O76+P76+Q76+R76+S76+T76</f>
        <v>22.337567319220206</v>
      </c>
      <c r="V76" t="s">
        <v>274</v>
      </c>
      <c r="AB76" t="s">
        <v>194</v>
      </c>
      <c r="AD76" s="3">
        <f>AD74+Y74+AE74</f>
        <v>3.185255105545991</v>
      </c>
    </row>
    <row r="77" spans="4:22" ht="12.75">
      <c r="D77" s="80" t="s">
        <v>142</v>
      </c>
      <c r="E77" s="80"/>
      <c r="F77" s="80"/>
      <c r="G77" s="80"/>
      <c r="H77" s="80">
        <f>H76*D71</f>
        <v>0.231072</v>
      </c>
      <c r="I77" s="80" t="s">
        <v>20</v>
      </c>
      <c r="J77" s="80">
        <f>G75*H77</f>
        <v>18.104170956202147</v>
      </c>
      <c r="L77" s="13" t="s">
        <v>198</v>
      </c>
      <c r="M77" s="13">
        <f>AK30</f>
        <v>6.43</v>
      </c>
      <c r="N77" s="332">
        <f>AC48</f>
        <v>1.7643</v>
      </c>
      <c r="O77" s="13">
        <f>AF64</f>
        <v>0.11440000000000002</v>
      </c>
      <c r="P77" s="13">
        <f>AR51</f>
        <v>1.0464</v>
      </c>
      <c r="Q77" s="13"/>
      <c r="R77" s="13"/>
      <c r="S77" s="13">
        <f>AP67</f>
        <v>0</v>
      </c>
      <c r="T77">
        <f>AG44</f>
        <v>1.1762000000000001</v>
      </c>
      <c r="U77" s="6">
        <f>M77+N77+O77+P77+Q77+R77+S77+T77</f>
        <v>10.5313</v>
      </c>
      <c r="V77" t="s">
        <v>274</v>
      </c>
    </row>
    <row r="78" spans="12:22" ht="12.75">
      <c r="L78" s="13"/>
      <c r="M78" s="13">
        <f aca="true" t="shared" si="51" ref="M78:R78">M76+M77</f>
        <v>18.743000000000002</v>
      </c>
      <c r="N78" s="332">
        <f t="shared" si="51"/>
        <v>4.3566</v>
      </c>
      <c r="O78" s="13">
        <f t="shared" si="51"/>
        <v>0.7462000000000001</v>
      </c>
      <c r="P78" s="13">
        <f t="shared" si="51"/>
        <v>2.7589440000000005</v>
      </c>
      <c r="Q78" s="13">
        <f t="shared" si="51"/>
        <v>0.8869733192202056</v>
      </c>
      <c r="R78" s="13">
        <f t="shared" si="51"/>
        <v>1.8525</v>
      </c>
      <c r="S78" s="13">
        <f>S76+S77</f>
        <v>0.62025</v>
      </c>
      <c r="T78" s="13">
        <f>T76+T77</f>
        <v>2.9044000000000003</v>
      </c>
      <c r="U78" s="6">
        <f>M78+N78+O78+P78+Q78+R78+S78+T78</f>
        <v>32.86886731922021</v>
      </c>
      <c r="V78" t="s">
        <v>274</v>
      </c>
    </row>
    <row r="79" ht="12.75">
      <c r="Y79" s="109" t="s">
        <v>377</v>
      </c>
    </row>
    <row r="80" spans="25:28" ht="12.75">
      <c r="Y80" s="358" t="s">
        <v>376</v>
      </c>
      <c r="Z80" s="358" t="s">
        <v>134</v>
      </c>
      <c r="AA80" s="358" t="s">
        <v>135</v>
      </c>
      <c r="AB80" s="358" t="s">
        <v>136</v>
      </c>
    </row>
    <row r="81" spans="25:28" ht="12.75">
      <c r="Y81" s="358">
        <f>I58</f>
        <v>7.617</v>
      </c>
      <c r="Z81" s="358">
        <f>L58</f>
        <v>26.050140000000003</v>
      </c>
      <c r="AA81" s="358">
        <f>N58</f>
        <v>3.4594585920000003</v>
      </c>
      <c r="AB81" s="358">
        <f>O58</f>
        <v>6.9189171840000006</v>
      </c>
    </row>
    <row r="82" spans="4:28" ht="12.75">
      <c r="D82" s="109" t="s">
        <v>176</v>
      </c>
      <c r="E82" s="109" t="s">
        <v>80</v>
      </c>
      <c r="F82" s="109" t="s">
        <v>11</v>
      </c>
      <c r="G82" s="109" t="s">
        <v>33</v>
      </c>
      <c r="H82" s="109" t="s">
        <v>286</v>
      </c>
      <c r="I82" s="109" t="s">
        <v>287</v>
      </c>
      <c r="J82" s="109"/>
      <c r="K82" s="109" t="s">
        <v>146</v>
      </c>
      <c r="L82" s="105">
        <f>R84*L83</f>
        <v>39174.307047591545</v>
      </c>
      <c r="O82" s="3" t="s">
        <v>87</v>
      </c>
      <c r="R82" s="35">
        <f>AC9+AC27</f>
        <v>43.924125000000004</v>
      </c>
      <c r="S82" s="3" t="s">
        <v>20</v>
      </c>
      <c r="Y82" s="395">
        <f>R83</f>
        <v>7.443250000000001</v>
      </c>
      <c r="Z82" s="109">
        <f>Y82*Z81/Y81</f>
        <v>25.455915000000005</v>
      </c>
      <c r="AA82" s="109">
        <f>Y82*AA81/Y81</f>
        <v>3.3805455120000003</v>
      </c>
      <c r="AB82" s="109">
        <f>Y82*AB81/Y81</f>
        <v>6.761091024000001</v>
      </c>
    </row>
    <row r="83" spans="4:19" ht="12.75">
      <c r="D83" s="109">
        <v>1</v>
      </c>
      <c r="E83" s="109">
        <v>0.19</v>
      </c>
      <c r="F83" s="109">
        <v>0.09</v>
      </c>
      <c r="G83" s="109">
        <v>0.09</v>
      </c>
      <c r="H83" s="109">
        <f>E83*F83*G83</f>
        <v>0.001539</v>
      </c>
      <c r="I83" s="109">
        <f>D83/H83</f>
        <v>649.772579597141</v>
      </c>
      <c r="J83" s="105">
        <f>J87</f>
        <v>500</v>
      </c>
      <c r="K83" s="213" t="str">
        <f>Data!J7</f>
        <v>S</v>
      </c>
      <c r="L83" s="109">
        <f>IF(K83="B",J84,IF(K83="S",J83,IF(K83="O",J85)))</f>
        <v>500</v>
      </c>
      <c r="O83" s="3" t="s">
        <v>19</v>
      </c>
      <c r="R83" s="36">
        <f>AC11+AC28</f>
        <v>7.443250000000001</v>
      </c>
      <c r="S83" s="3" t="s">
        <v>20</v>
      </c>
    </row>
    <row r="84" spans="4:23" ht="12.75">
      <c r="D84" s="109">
        <f>D83</f>
        <v>1</v>
      </c>
      <c r="E84" s="109">
        <v>0.229</v>
      </c>
      <c r="F84" s="109">
        <v>0.112</v>
      </c>
      <c r="G84" s="109">
        <v>0.07</v>
      </c>
      <c r="H84" s="109">
        <f>E84*F84*G84</f>
        <v>0.0017953600000000002</v>
      </c>
      <c r="I84" s="109">
        <f>D84/H84</f>
        <v>556.9913554941627</v>
      </c>
      <c r="J84" s="105">
        <f>J88</f>
        <v>429</v>
      </c>
      <c r="K84" s="109"/>
      <c r="L84" s="109"/>
      <c r="O84" s="3" t="s">
        <v>85</v>
      </c>
      <c r="R84" s="37">
        <f>AC13+AC29+AK21+AR13+AJ23+AG37+AG38+AG39+G101+U64-BB32-AC49-T78</f>
        <v>78.3486140951831</v>
      </c>
      <c r="S84" s="3" t="s">
        <v>20</v>
      </c>
      <c r="T84" t="s">
        <v>262</v>
      </c>
      <c r="W84">
        <f>L82</f>
        <v>39174.307047591545</v>
      </c>
    </row>
    <row r="85" spans="4:26" ht="12.75">
      <c r="D85" s="109">
        <v>1</v>
      </c>
      <c r="E85" s="109">
        <v>0.22</v>
      </c>
      <c r="F85" s="109">
        <v>0.1</v>
      </c>
      <c r="G85" s="109">
        <v>0.065</v>
      </c>
      <c r="H85" s="109">
        <f>E85*F85*G85</f>
        <v>0.0014300000000000003</v>
      </c>
      <c r="I85" s="109">
        <f>D85/H85</f>
        <v>699.3006993006992</v>
      </c>
      <c r="J85" s="105">
        <f>J89</f>
        <v>527</v>
      </c>
      <c r="K85" s="109"/>
      <c r="L85" s="109"/>
      <c r="P85" t="s">
        <v>197</v>
      </c>
      <c r="R85">
        <f>G101+AC13+AC29+AU5+AG37+AG38+AG39-AV32-AC47-T76</f>
        <v>44.096482095183084</v>
      </c>
      <c r="U85" s="444"/>
      <c r="V85" s="444"/>
      <c r="W85" s="444"/>
      <c r="X85" s="444"/>
      <c r="Y85" s="444" t="s">
        <v>413</v>
      </c>
      <c r="Z85" s="444"/>
    </row>
    <row r="86" spans="4:26" ht="15.75">
      <c r="D86" s="109"/>
      <c r="E86" s="109"/>
      <c r="F86" s="109"/>
      <c r="G86" s="109"/>
      <c r="H86" s="109"/>
      <c r="I86" s="109"/>
      <c r="J86" s="109" t="s">
        <v>288</v>
      </c>
      <c r="K86" s="109"/>
      <c r="L86" s="109"/>
      <c r="P86" t="s">
        <v>198</v>
      </c>
      <c r="R86">
        <f>U64+AK21+AJ23+AU6-AW32-AC48-T77</f>
        <v>34.252132</v>
      </c>
      <c r="U86" s="444"/>
      <c r="V86" s="444"/>
      <c r="W86" s="444"/>
      <c r="X86" s="445" t="str">
        <f>Data!E2</f>
        <v>R</v>
      </c>
      <c r="Y86" s="446">
        <f>IF(X86="R",P66,0)</f>
        <v>43.924125000000004</v>
      </c>
      <c r="Z86" s="444"/>
    </row>
    <row r="87" spans="4:26" ht="12.75">
      <c r="D87" s="109">
        <f>D83</f>
        <v>1</v>
      </c>
      <c r="E87" s="109">
        <f aca="true" t="shared" si="52" ref="E87:G89">E83+0.01</f>
        <v>0.2</v>
      </c>
      <c r="F87" s="109">
        <f t="shared" si="52"/>
        <v>0.09999999999999999</v>
      </c>
      <c r="G87" s="109">
        <f t="shared" si="52"/>
        <v>0.09999999999999999</v>
      </c>
      <c r="H87" s="109">
        <f>E87*F87*G87</f>
        <v>0.002</v>
      </c>
      <c r="I87" s="109">
        <f>D87/H87</f>
        <v>500</v>
      </c>
      <c r="J87" s="109">
        <f>ROUND(I87,0)</f>
        <v>500</v>
      </c>
      <c r="K87" s="109"/>
      <c r="L87" s="109"/>
      <c r="O87" s="3" t="s">
        <v>260</v>
      </c>
      <c r="U87" s="444" t="s">
        <v>414</v>
      </c>
      <c r="V87" s="444"/>
      <c r="W87" s="444"/>
      <c r="X87" s="444"/>
      <c r="Y87" s="446">
        <f>IF(X86="R",N66,0)</f>
        <v>31.111500000000007</v>
      </c>
      <c r="Z87" s="444"/>
    </row>
    <row r="88" spans="4:26" ht="12.75">
      <c r="D88" s="109">
        <f>D84</f>
        <v>1</v>
      </c>
      <c r="E88" s="109">
        <f t="shared" si="52"/>
        <v>0.23900000000000002</v>
      </c>
      <c r="F88" s="109">
        <f t="shared" si="52"/>
        <v>0.122</v>
      </c>
      <c r="G88" s="109">
        <f t="shared" si="52"/>
        <v>0.08</v>
      </c>
      <c r="H88" s="109">
        <f>E88*F88*G88</f>
        <v>0.00233264</v>
      </c>
      <c r="I88" s="109">
        <f>D88/H88</f>
        <v>428.69881336168464</v>
      </c>
      <c r="J88" s="109">
        <f>ROUND(I88,0)</f>
        <v>429</v>
      </c>
      <c r="K88" s="109"/>
      <c r="L88" s="109"/>
      <c r="P88" t="s">
        <v>197</v>
      </c>
      <c r="R88">
        <f>AV5</f>
        <v>25.86</v>
      </c>
      <c r="S88" t="s">
        <v>261</v>
      </c>
      <c r="U88" s="446">
        <f>P66*L83</f>
        <v>21962.0625</v>
      </c>
      <c r="V88" s="444"/>
      <c r="W88" s="444"/>
      <c r="X88" s="444"/>
      <c r="Y88" s="446">
        <f>IF(X86="R",L66,0)</f>
        <v>12.812624999999999</v>
      </c>
      <c r="Z88" s="444"/>
    </row>
    <row r="89" spans="4:26" ht="12.75">
      <c r="D89" s="109">
        <f>D85</f>
        <v>1</v>
      </c>
      <c r="E89" s="109">
        <f t="shared" si="52"/>
        <v>0.23</v>
      </c>
      <c r="F89" s="109">
        <f t="shared" si="52"/>
        <v>0.11</v>
      </c>
      <c r="G89" s="109">
        <f t="shared" si="52"/>
        <v>0.075</v>
      </c>
      <c r="H89" s="109">
        <f>E89*F89*G89</f>
        <v>0.0018974999999999999</v>
      </c>
      <c r="I89" s="109">
        <f>D89/H89</f>
        <v>527.0092226613966</v>
      </c>
      <c r="J89" s="109">
        <f>ROUND(I89,0)</f>
        <v>527</v>
      </c>
      <c r="K89" s="109"/>
      <c r="L89" s="109"/>
      <c r="P89" t="s">
        <v>198</v>
      </c>
      <c r="R89">
        <f>AV6</f>
        <v>15</v>
      </c>
      <c r="S89" t="s">
        <v>261</v>
      </c>
      <c r="U89" s="444"/>
      <c r="V89" s="444"/>
      <c r="W89" s="444"/>
      <c r="X89" s="444"/>
      <c r="Y89" s="444"/>
      <c r="Z89" s="444"/>
    </row>
    <row r="90" spans="13:26" ht="12.75">
      <c r="M90" s="89"/>
      <c r="O90" s="3" t="s">
        <v>86</v>
      </c>
      <c r="R90" s="38">
        <f>U78</f>
        <v>32.86886731922021</v>
      </c>
      <c r="S90" s="3" t="s">
        <v>20</v>
      </c>
      <c r="U90" s="444"/>
      <c r="V90" s="444"/>
      <c r="W90" s="444"/>
      <c r="X90" s="444"/>
      <c r="Y90" s="446">
        <f>IF(X86="B",U88,0)</f>
        <v>0</v>
      </c>
      <c r="Z90" s="444" t="s">
        <v>132</v>
      </c>
    </row>
    <row r="91" spans="16:26" ht="12.75">
      <c r="P91" t="s">
        <v>197</v>
      </c>
      <c r="R91">
        <f>U76</f>
        <v>22.337567319220206</v>
      </c>
      <c r="S91" t="s">
        <v>20</v>
      </c>
      <c r="U91" s="444"/>
      <c r="V91" s="444"/>
      <c r="W91" s="444"/>
      <c r="X91" s="444"/>
      <c r="Y91" s="446">
        <f>IF(X86="B",R82,0)</f>
        <v>0</v>
      </c>
      <c r="Z91" s="444" t="s">
        <v>20</v>
      </c>
    </row>
    <row r="92" spans="5:26" ht="12.75">
      <c r="E92" t="s">
        <v>275</v>
      </c>
      <c r="F92" t="s">
        <v>11</v>
      </c>
      <c r="G92">
        <v>500</v>
      </c>
      <c r="K92" s="216">
        <f>IF(E92="HC",G95,IF(E92="B",G92,IF(E92="S",G93,IF(E92="O",G94))))</f>
        <v>527</v>
      </c>
      <c r="P92" t="s">
        <v>198</v>
      </c>
      <c r="R92">
        <f>U77</f>
        <v>10.5313</v>
      </c>
      <c r="S92" t="s">
        <v>20</v>
      </c>
      <c r="U92" s="444" t="s">
        <v>415</v>
      </c>
      <c r="V92" s="444"/>
      <c r="W92" s="444"/>
      <c r="X92" s="444"/>
      <c r="Y92" s="446">
        <f>Y91*F76/50</f>
        <v>0</v>
      </c>
      <c r="Z92" s="444" t="s">
        <v>383</v>
      </c>
    </row>
    <row r="93" spans="6:26" ht="12.75">
      <c r="F93" t="s">
        <v>289</v>
      </c>
      <c r="G93">
        <v>429</v>
      </c>
      <c r="O93" s="3"/>
      <c r="U93" s="444" t="s">
        <v>416</v>
      </c>
      <c r="V93" s="444"/>
      <c r="W93" s="444"/>
      <c r="X93" s="444"/>
      <c r="Y93" s="446">
        <f>Y91*H77</f>
        <v>0</v>
      </c>
      <c r="Z93" s="444" t="s">
        <v>20</v>
      </c>
    </row>
    <row r="94" spans="6:16" ht="12.75">
      <c r="F94" t="s">
        <v>290</v>
      </c>
      <c r="G94">
        <v>527</v>
      </c>
      <c r="O94" t="s">
        <v>312</v>
      </c>
      <c r="P94" t="s">
        <v>197</v>
      </c>
    </row>
    <row r="95" spans="6:25" ht="12.75">
      <c r="F95" t="s">
        <v>291</v>
      </c>
      <c r="G95">
        <v>100</v>
      </c>
      <c r="P95" t="s">
        <v>198</v>
      </c>
      <c r="U95" t="s">
        <v>418</v>
      </c>
      <c r="Y95" s="6">
        <f>L82+Y90</f>
        <v>39174.307047591545</v>
      </c>
    </row>
    <row r="97" spans="4:17" ht="15">
      <c r="D97" s="40" t="s">
        <v>180</v>
      </c>
      <c r="E97" s="40"/>
      <c r="F97" s="63" t="s">
        <v>33</v>
      </c>
      <c r="G97" s="40"/>
      <c r="H97" s="40"/>
      <c r="K97" s="42" t="s">
        <v>52</v>
      </c>
      <c r="L97" s="42"/>
      <c r="M97" s="46" t="s">
        <v>50</v>
      </c>
      <c r="N97" s="47">
        <f>Data!P33</f>
        <v>0.17</v>
      </c>
      <c r="O97" s="46" t="s">
        <v>53</v>
      </c>
      <c r="P97" s="48">
        <f>('Sheet 4'!D2+'Sheet 4'!D3)/P101</f>
        <v>0.17222222222222222</v>
      </c>
      <c r="Q97" s="45"/>
    </row>
    <row r="98" spans="4:17" ht="14.25">
      <c r="D98" s="40" t="s">
        <v>37</v>
      </c>
      <c r="E98" s="40">
        <v>1.72</v>
      </c>
      <c r="F98" s="63">
        <v>1</v>
      </c>
      <c r="G98" s="40">
        <v>1.72</v>
      </c>
      <c r="H98" s="63">
        <v>1.8</v>
      </c>
      <c r="K98" s="42" t="s">
        <v>54</v>
      </c>
      <c r="L98" s="42"/>
      <c r="M98" s="46" t="s">
        <v>50</v>
      </c>
      <c r="N98" s="47">
        <f>Data!P34</f>
        <v>0.25</v>
      </c>
      <c r="O98" s="42"/>
      <c r="P98" s="42"/>
      <c r="Q98" s="45">
        <f>((N98+P97)*P101)+(N113*(N99*2))</f>
        <v>9.6</v>
      </c>
    </row>
    <row r="99" spans="4:17" ht="14.25">
      <c r="D99" s="40" t="s">
        <v>39</v>
      </c>
      <c r="E99" s="40">
        <v>1.5</v>
      </c>
      <c r="F99" s="63"/>
      <c r="G99" s="40">
        <v>1.28</v>
      </c>
      <c r="H99" s="63"/>
      <c r="K99" s="42" t="s">
        <v>66</v>
      </c>
      <c r="L99" s="42"/>
      <c r="M99" s="46"/>
      <c r="N99" s="44">
        <f>Data!P35</f>
        <v>1</v>
      </c>
      <c r="O99" s="42"/>
      <c r="P99" s="42"/>
      <c r="Q99" s="45"/>
    </row>
    <row r="100" spans="4:17" ht="14.25">
      <c r="D100" s="40" t="s">
        <v>129</v>
      </c>
      <c r="E100" s="40">
        <f>(PI()/4)*(E98^2-E99^2)*F98</f>
        <v>0.5563760589507522</v>
      </c>
      <c r="F100" s="63"/>
      <c r="G100" s="40">
        <f>(PI()/4)*(G98^2-G99^2)*H98</f>
        <v>1.8661060362323365</v>
      </c>
      <c r="H100" s="40"/>
      <c r="K100" s="42" t="s">
        <v>67</v>
      </c>
      <c r="L100" s="42"/>
      <c r="M100" s="46"/>
      <c r="N100" s="42">
        <f>Data!P39</f>
        <v>0.12</v>
      </c>
      <c r="O100" s="42"/>
      <c r="P100" s="42"/>
      <c r="Q100" s="45"/>
    </row>
    <row r="101" spans="4:17" ht="15">
      <c r="D101" s="40"/>
      <c r="E101" s="40"/>
      <c r="F101" s="40" t="s">
        <v>47</v>
      </c>
      <c r="G101" s="40">
        <f>E100+G100</f>
        <v>2.4224820951830885</v>
      </c>
      <c r="H101" s="40"/>
      <c r="K101" s="42" t="s">
        <v>55</v>
      </c>
      <c r="L101" s="42"/>
      <c r="M101" s="46"/>
      <c r="N101" s="49">
        <f>('Sheet 4'!D2+'Sheet 4'!D3)/N97</f>
        <v>18.235294117647058</v>
      </c>
      <c r="O101" s="46" t="s">
        <v>53</v>
      </c>
      <c r="P101" s="50">
        <f>ROUND(N101,0)</f>
        <v>18</v>
      </c>
      <c r="Q101" s="45"/>
    </row>
    <row r="102" spans="11:17" ht="14.25">
      <c r="K102" s="42"/>
      <c r="L102" s="42"/>
      <c r="M102" s="46"/>
      <c r="N102" s="42"/>
      <c r="O102" s="42"/>
      <c r="P102" s="42"/>
      <c r="Q102" s="45">
        <f>N98*P101*N99*2</f>
        <v>9</v>
      </c>
    </row>
    <row r="103" spans="4:17" ht="15">
      <c r="D103" s="41" t="s">
        <v>163</v>
      </c>
      <c r="E103" s="41"/>
      <c r="F103" s="41"/>
      <c r="K103" s="51" t="s">
        <v>56</v>
      </c>
      <c r="L103" s="42"/>
      <c r="M103" s="46"/>
      <c r="N103" s="42"/>
      <c r="O103" s="42"/>
      <c r="P103" s="42"/>
      <c r="Q103" s="45"/>
    </row>
    <row r="104" spans="4:17" ht="14.25">
      <c r="D104" s="41" t="s">
        <v>143</v>
      </c>
      <c r="E104" s="41">
        <v>1700</v>
      </c>
      <c r="F104" s="41" t="s">
        <v>164</v>
      </c>
      <c r="K104" s="42" t="s">
        <v>57</v>
      </c>
      <c r="L104" s="42"/>
      <c r="M104" s="46" t="s">
        <v>50</v>
      </c>
      <c r="N104" s="47">
        <f>Data!P37</f>
        <v>0.25</v>
      </c>
      <c r="O104" s="42"/>
      <c r="P104" s="42"/>
      <c r="Q104" s="45"/>
    </row>
    <row r="105" spans="4:17" ht="15">
      <c r="D105" s="41" t="s">
        <v>165</v>
      </c>
      <c r="E105" s="41">
        <v>1750</v>
      </c>
      <c r="F105" s="41"/>
      <c r="K105" s="42" t="s">
        <v>58</v>
      </c>
      <c r="L105" s="42"/>
      <c r="M105" s="46" t="s">
        <v>50</v>
      </c>
      <c r="N105" s="52">
        <v>13</v>
      </c>
      <c r="O105" s="42"/>
      <c r="P105" s="42"/>
      <c r="Q105" s="45"/>
    </row>
    <row r="106" spans="3:17" ht="14.25">
      <c r="C106" s="3"/>
      <c r="D106" s="41" t="s">
        <v>141</v>
      </c>
      <c r="E106" s="41">
        <v>1500</v>
      </c>
      <c r="F106" s="41"/>
      <c r="K106" s="42" t="s">
        <v>59</v>
      </c>
      <c r="L106" s="42"/>
      <c r="M106" s="46" t="s">
        <v>50</v>
      </c>
      <c r="N106" s="44"/>
      <c r="O106" s="42"/>
      <c r="P106" s="42"/>
      <c r="Q106" s="45"/>
    </row>
    <row r="107" spans="4:17" ht="15">
      <c r="D107" s="41" t="s">
        <v>142</v>
      </c>
      <c r="E107" s="41">
        <v>1500</v>
      </c>
      <c r="F107" s="41"/>
      <c r="K107" s="42" t="s">
        <v>60</v>
      </c>
      <c r="L107" s="42"/>
      <c r="M107" s="46" t="s">
        <v>50</v>
      </c>
      <c r="N107" s="53">
        <f>N105-1</f>
        <v>12</v>
      </c>
      <c r="O107" s="45"/>
      <c r="P107" s="42"/>
      <c r="Q107" s="45"/>
    </row>
    <row r="108" spans="11:17" ht="15">
      <c r="K108" s="42" t="s">
        <v>61</v>
      </c>
      <c r="L108" s="42"/>
      <c r="M108" s="46" t="s">
        <v>50</v>
      </c>
      <c r="N108" s="54">
        <f>N107*N98</f>
        <v>3</v>
      </c>
      <c r="O108" s="42"/>
      <c r="P108" s="42"/>
      <c r="Q108" s="45"/>
    </row>
    <row r="109" spans="11:17" ht="15">
      <c r="K109" s="42"/>
      <c r="L109" s="42"/>
      <c r="M109" s="46" t="s">
        <v>4</v>
      </c>
      <c r="N109" s="55">
        <f>(N105*P97)-'Sheet 4'!D3</f>
        <v>2.138888888888889</v>
      </c>
      <c r="O109" s="42"/>
      <c r="P109" s="45"/>
      <c r="Q109" s="45"/>
    </row>
    <row r="110" spans="11:17" ht="15">
      <c r="K110" s="51" t="s">
        <v>62</v>
      </c>
      <c r="L110" s="42"/>
      <c r="M110" s="46"/>
      <c r="N110" s="42"/>
      <c r="O110" s="42"/>
      <c r="P110" s="42"/>
      <c r="Q110" s="45"/>
    </row>
    <row r="111" spans="11:17" ht="15">
      <c r="K111" s="42" t="s">
        <v>58</v>
      </c>
      <c r="L111" s="42"/>
      <c r="M111" s="46" t="s">
        <v>50</v>
      </c>
      <c r="N111" s="56">
        <f>P101-N105</f>
        <v>5</v>
      </c>
      <c r="O111" s="42"/>
      <c r="P111" s="42"/>
      <c r="Q111" s="45"/>
    </row>
    <row r="112" spans="11:17" ht="15">
      <c r="K112" s="42" t="s">
        <v>63</v>
      </c>
      <c r="L112" s="42"/>
      <c r="M112" s="46" t="s">
        <v>50</v>
      </c>
      <c r="N112" s="53">
        <f>N111-1</f>
        <v>4</v>
      </c>
      <c r="O112" s="42"/>
      <c r="P112" s="42"/>
      <c r="Q112" s="45"/>
    </row>
    <row r="113" spans="11:17" ht="15">
      <c r="K113" s="42" t="s">
        <v>64</v>
      </c>
      <c r="L113" s="42"/>
      <c r="M113" s="46" t="s">
        <v>50</v>
      </c>
      <c r="N113" s="54">
        <f>N112*N98</f>
        <v>1</v>
      </c>
      <c r="O113" s="54"/>
      <c r="P113" s="42"/>
      <c r="Q113" s="45"/>
    </row>
    <row r="114" spans="11:17" ht="14.25">
      <c r="K114" s="45"/>
      <c r="L114" s="45"/>
      <c r="M114" s="57" t="s">
        <v>5</v>
      </c>
      <c r="N114" s="42">
        <f>'Sheet 4'!D2-N113-0.12-'Sheet 4'!D3</f>
        <v>1.7799999999999998</v>
      </c>
      <c r="O114" s="45"/>
      <c r="P114" s="42"/>
      <c r="Q114" s="45"/>
    </row>
    <row r="115" spans="11:17" ht="15">
      <c r="K115" s="42"/>
      <c r="L115" s="42"/>
      <c r="M115" s="46"/>
      <c r="N115" s="54"/>
      <c r="O115" s="45"/>
      <c r="P115" s="42"/>
      <c r="Q115" s="45"/>
    </row>
    <row r="116" spans="11:17" ht="14.25">
      <c r="K116" s="42" t="s">
        <v>65</v>
      </c>
      <c r="L116" s="42"/>
      <c r="M116" s="46">
        <v>1</v>
      </c>
      <c r="N116" s="58">
        <f>SQRT(N108^2+N113^2)</f>
        <v>3.1622776601683795</v>
      </c>
      <c r="O116" s="42" t="s">
        <v>32</v>
      </c>
      <c r="P116" s="42">
        <f>((N117+N116)*N99*N100)+((N98*P97/2)*N99*P101)</f>
        <v>0.8869733192202056</v>
      </c>
      <c r="Q116" s="45"/>
    </row>
    <row r="117" spans="11:17" ht="15">
      <c r="K117" s="42"/>
      <c r="L117" s="53"/>
      <c r="M117" s="59">
        <v>2</v>
      </c>
      <c r="N117" s="49">
        <f>SQRT(N113^+N114^2)</f>
        <v>1</v>
      </c>
      <c r="O117" s="45"/>
      <c r="P117" s="45"/>
      <c r="Q117" s="45"/>
    </row>
  </sheetData>
  <sheetProtection/>
  <printOptions/>
  <pageMargins left="0.75" right="0.75" top="1" bottom="1" header="0.5" footer="0.5"/>
  <pageSetup horizontalDpi="300" verticalDpi="300" orientation="portrait" r:id="rId2"/>
  <ignoredErrors>
    <ignoredError sqref="F44:G44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G40" sqref="G40"/>
    </sheetView>
  </sheetViews>
  <sheetFormatPr defaultColWidth="9.140625" defaultRowHeight="12.75"/>
  <cols>
    <col min="10" max="10" width="17.7109375" style="0" bestFit="1" customWidth="1"/>
  </cols>
  <sheetData>
    <row r="1" spans="3:17" ht="15.75">
      <c r="C1" s="16"/>
      <c r="J1" s="341"/>
      <c r="K1" s="1"/>
      <c r="L1" s="1"/>
      <c r="M1" s="1"/>
      <c r="N1" s="1"/>
      <c r="O1" s="1"/>
      <c r="P1" s="1"/>
      <c r="Q1" s="1"/>
    </row>
    <row r="2" spans="1:17" ht="14.25">
      <c r="A2" s="17" t="s">
        <v>49</v>
      </c>
      <c r="B2" s="17"/>
      <c r="C2" s="18" t="s">
        <v>50</v>
      </c>
      <c r="D2" s="44">
        <f>Data!J11</f>
        <v>3</v>
      </c>
      <c r="E2" s="19"/>
      <c r="F2" s="17"/>
      <c r="J2" s="1"/>
      <c r="K2" s="1"/>
      <c r="L2" s="1"/>
      <c r="M2" s="1"/>
      <c r="N2" s="1"/>
      <c r="O2" s="1"/>
      <c r="P2" s="1"/>
      <c r="Q2" s="1"/>
    </row>
    <row r="3" spans="1:17" ht="14.25">
      <c r="A3" s="42" t="s">
        <v>51</v>
      </c>
      <c r="B3" s="42"/>
      <c r="C3" s="43" t="s">
        <v>50</v>
      </c>
      <c r="D3" s="44">
        <f>Data!O24</f>
        <v>0.1</v>
      </c>
      <c r="E3" s="44"/>
      <c r="F3" s="42"/>
      <c r="G3" s="45"/>
      <c r="H3" s="45"/>
      <c r="I3" s="45"/>
      <c r="J3" s="342"/>
      <c r="K3" s="1"/>
      <c r="L3" s="1"/>
      <c r="M3" s="1"/>
      <c r="N3" s="1"/>
      <c r="O3" s="1"/>
      <c r="P3" s="1"/>
      <c r="Q3" s="1"/>
    </row>
    <row r="4" spans="1:17" ht="14.25">
      <c r="A4" s="42"/>
      <c r="B4" s="42"/>
      <c r="C4" s="46"/>
      <c r="D4" s="44"/>
      <c r="E4" s="42"/>
      <c r="F4" s="42"/>
      <c r="G4" s="45"/>
      <c r="H4" s="45"/>
      <c r="I4" s="45"/>
      <c r="J4" s="1"/>
      <c r="K4" s="1"/>
      <c r="L4" s="1"/>
      <c r="M4" s="337"/>
      <c r="N4" s="1"/>
      <c r="O4" s="1"/>
      <c r="P4" s="1"/>
      <c r="Q4" s="1"/>
    </row>
    <row r="5" spans="8:17" ht="12.75">
      <c r="H5" s="45"/>
      <c r="I5" s="45"/>
      <c r="J5" s="1"/>
      <c r="K5" s="1"/>
      <c r="L5" s="1"/>
      <c r="M5" s="337"/>
      <c r="N5" s="337"/>
      <c r="O5" s="1"/>
      <c r="P5" s="1"/>
      <c r="Q5" s="1"/>
    </row>
    <row r="6" spans="8:17" ht="12.75">
      <c r="H6" s="45"/>
      <c r="I6" s="45"/>
      <c r="J6" s="1"/>
      <c r="K6" s="1"/>
      <c r="L6" s="1"/>
      <c r="M6" s="337"/>
      <c r="N6" s="1"/>
      <c r="O6" s="1"/>
      <c r="P6" s="1"/>
      <c r="Q6" s="1"/>
    </row>
    <row r="7" spans="8:17" ht="12.75">
      <c r="H7" s="45"/>
      <c r="I7" s="45"/>
      <c r="J7" s="1"/>
      <c r="K7" s="1"/>
      <c r="L7" s="1"/>
      <c r="M7" s="338"/>
      <c r="N7" s="1"/>
      <c r="O7" s="1"/>
      <c r="P7" s="1"/>
      <c r="Q7" s="1"/>
    </row>
    <row r="8" spans="8:17" ht="12.75">
      <c r="H8" s="45"/>
      <c r="I8" s="45"/>
      <c r="J8" s="1"/>
      <c r="K8" s="1"/>
      <c r="L8" s="1"/>
      <c r="M8" s="337"/>
      <c r="N8" s="1"/>
      <c r="O8" s="1"/>
      <c r="P8" s="1"/>
      <c r="Q8" s="1"/>
    </row>
    <row r="9" spans="8:17" ht="12.75">
      <c r="H9" s="45"/>
      <c r="I9" s="45"/>
      <c r="J9" s="1"/>
      <c r="K9" s="1"/>
      <c r="L9" s="1"/>
      <c r="M9" s="337"/>
      <c r="N9" s="1"/>
      <c r="O9" s="1"/>
      <c r="P9" s="1"/>
      <c r="Q9" s="1"/>
    </row>
    <row r="10" spans="8:17" ht="12.75">
      <c r="H10" s="45"/>
      <c r="I10" s="45"/>
      <c r="J10" s="1"/>
      <c r="K10" s="1"/>
      <c r="L10" s="1"/>
      <c r="M10" s="337"/>
      <c r="N10" s="337"/>
      <c r="O10" s="1"/>
      <c r="P10" s="1"/>
      <c r="Q10" s="1"/>
    </row>
    <row r="11" spans="8:17" ht="12.75">
      <c r="H11" s="45"/>
      <c r="I11" s="45"/>
      <c r="J11" s="1"/>
      <c r="K11" s="1"/>
      <c r="L11" s="1"/>
      <c r="M11" s="339"/>
      <c r="N11" s="1"/>
      <c r="O11" s="343"/>
      <c r="P11" s="1"/>
      <c r="Q11" s="1"/>
    </row>
    <row r="12" spans="8:17" ht="12.75">
      <c r="H12" s="45"/>
      <c r="I12" s="45"/>
      <c r="J12" s="1"/>
      <c r="K12" s="1"/>
      <c r="L12" s="1"/>
      <c r="M12" s="338"/>
      <c r="N12" s="1"/>
      <c r="O12" s="1"/>
      <c r="P12" s="1"/>
      <c r="Q12" s="1"/>
    </row>
    <row r="13" spans="8:17" ht="12.75">
      <c r="H13" s="45"/>
      <c r="I13" s="45"/>
      <c r="J13" s="1"/>
      <c r="K13" s="1"/>
      <c r="L13" s="1"/>
      <c r="M13" s="337"/>
      <c r="N13" s="1"/>
      <c r="O13" s="1"/>
      <c r="P13" s="1"/>
      <c r="Q13" s="1"/>
    </row>
    <row r="14" spans="8:17" ht="12.75">
      <c r="H14" s="45"/>
      <c r="I14" s="45"/>
      <c r="J14" s="1"/>
      <c r="K14" s="1"/>
      <c r="L14" s="1"/>
      <c r="M14" s="339"/>
      <c r="N14" s="1"/>
      <c r="O14" s="1"/>
      <c r="P14" s="343"/>
      <c r="Q14" s="1"/>
    </row>
    <row r="15" spans="8:17" ht="12.75">
      <c r="H15" s="45"/>
      <c r="I15" s="45"/>
      <c r="J15" s="342"/>
      <c r="K15" s="1"/>
      <c r="L15" s="1"/>
      <c r="M15" s="338"/>
      <c r="N15" s="1"/>
      <c r="O15" s="1"/>
      <c r="P15" s="1"/>
      <c r="Q15" s="1"/>
    </row>
    <row r="16" spans="8:17" ht="12.75">
      <c r="H16" s="45"/>
      <c r="I16" s="45"/>
      <c r="J16" s="1"/>
      <c r="K16" s="1"/>
      <c r="L16" s="1"/>
      <c r="M16" s="337"/>
      <c r="N16" s="1"/>
      <c r="O16" s="1"/>
      <c r="P16" s="1"/>
      <c r="Q16" s="1"/>
    </row>
    <row r="17" spans="8:17" ht="12.75">
      <c r="H17" s="45"/>
      <c r="I17" s="45"/>
      <c r="J17" s="1"/>
      <c r="K17" s="1"/>
      <c r="L17" s="1"/>
      <c r="M17" s="339"/>
      <c r="N17" s="1"/>
      <c r="O17" s="343"/>
      <c r="P17" s="1"/>
      <c r="Q17" s="1"/>
    </row>
    <row r="18" spans="8:17" ht="12.75">
      <c r="H18" s="45"/>
      <c r="I18" s="45"/>
      <c r="J18" s="1"/>
      <c r="K18" s="1"/>
      <c r="L18" s="1"/>
      <c r="M18" s="337"/>
      <c r="N18" s="1"/>
      <c r="O18" s="1"/>
      <c r="P18" s="1"/>
      <c r="Q18" s="1"/>
    </row>
    <row r="19" spans="8:17" ht="12.75">
      <c r="H19" s="45"/>
      <c r="I19" s="45"/>
      <c r="J19" s="1"/>
      <c r="K19" s="1"/>
      <c r="L19" s="1"/>
      <c r="M19" s="337"/>
      <c r="N19" s="1"/>
      <c r="O19" s="1"/>
      <c r="P19" s="1"/>
      <c r="Q19" s="1"/>
    </row>
    <row r="20" spans="8:17" ht="12.75">
      <c r="H20" s="45"/>
      <c r="I20" s="45"/>
      <c r="J20" s="1"/>
      <c r="K20" s="1"/>
      <c r="L20" s="1"/>
      <c r="M20" s="1"/>
      <c r="N20" s="1"/>
      <c r="O20" s="1"/>
      <c r="P20" s="1"/>
      <c r="Q20" s="1"/>
    </row>
    <row r="21" spans="8:17" ht="12.75">
      <c r="H21" s="45"/>
      <c r="I21" s="45"/>
      <c r="J21" s="1"/>
      <c r="K21" s="1"/>
      <c r="L21" s="1"/>
      <c r="M21" s="343"/>
      <c r="N21" s="1"/>
      <c r="O21" s="1"/>
      <c r="P21" s="1"/>
      <c r="Q21" s="1"/>
    </row>
    <row r="22" spans="8:17" ht="12.75">
      <c r="H22" s="45"/>
      <c r="I22" s="45"/>
      <c r="J22" s="1"/>
      <c r="K22" s="1"/>
      <c r="L22" s="1"/>
      <c r="M22" s="1"/>
      <c r="N22" s="1"/>
      <c r="O22" s="1"/>
      <c r="P22" s="1"/>
      <c r="Q22" s="1"/>
    </row>
    <row r="23" spans="8:17" ht="12.75">
      <c r="H23" s="45"/>
      <c r="I23" s="45"/>
      <c r="J23" s="1"/>
      <c r="K23" s="1"/>
      <c r="L23" s="1"/>
      <c r="M23" s="1"/>
      <c r="N23" s="1"/>
      <c r="O23" s="1"/>
      <c r="P23" s="1"/>
      <c r="Q23" s="1"/>
    </row>
    <row r="24" spans="8:17" ht="12.75">
      <c r="H24" s="45"/>
      <c r="I24" s="45"/>
      <c r="J24" s="1"/>
      <c r="K24" s="1"/>
      <c r="L24" s="1"/>
      <c r="M24" s="343"/>
      <c r="N24" s="343"/>
      <c r="O24" s="343"/>
      <c r="P24" s="1"/>
      <c r="Q24" s="1"/>
    </row>
    <row r="25" spans="8:17" ht="12.75">
      <c r="H25" s="45"/>
      <c r="I25" s="45"/>
      <c r="J25" s="1"/>
      <c r="K25" s="1"/>
      <c r="L25" s="1"/>
      <c r="M25" s="1"/>
      <c r="N25" s="1"/>
      <c r="O25" s="1"/>
      <c r="P25" s="1"/>
      <c r="Q25" s="1"/>
    </row>
    <row r="26" spans="1:17" ht="12.75">
      <c r="A26" s="45"/>
      <c r="B26" s="45"/>
      <c r="C26" s="45"/>
      <c r="D26" s="45"/>
      <c r="E26" s="45"/>
      <c r="F26" s="45"/>
      <c r="G26" s="45"/>
      <c r="H26" s="45"/>
      <c r="I26" s="45"/>
      <c r="J26" s="1"/>
      <c r="K26" s="1"/>
      <c r="L26" s="1"/>
      <c r="M26" s="343"/>
      <c r="N26" s="1"/>
      <c r="O26" s="344"/>
      <c r="P26" s="1"/>
      <c r="Q26" s="1"/>
    </row>
    <row r="27" spans="1:17" ht="12.75">
      <c r="A27" s="45"/>
      <c r="B27" s="45"/>
      <c r="C27" s="45"/>
      <c r="D27" s="45"/>
      <c r="E27" s="45"/>
      <c r="F27" s="45"/>
      <c r="G27" s="45"/>
      <c r="H27" s="45"/>
      <c r="I27" s="45"/>
      <c r="J27" s="1"/>
      <c r="K27" s="1"/>
      <c r="L27" s="1"/>
      <c r="M27" s="1"/>
      <c r="N27" s="1"/>
      <c r="O27" s="1"/>
      <c r="P27" s="1"/>
      <c r="Q27" s="1"/>
    </row>
    <row r="28" spans="1:17" ht="12.75">
      <c r="A28" s="45"/>
      <c r="B28" s="45"/>
      <c r="C28" s="45"/>
      <c r="D28" s="45"/>
      <c r="E28" s="45"/>
      <c r="F28" s="45"/>
      <c r="G28" s="45"/>
      <c r="H28" s="45"/>
      <c r="I28" s="45"/>
      <c r="J28" s="1"/>
      <c r="K28" s="1"/>
      <c r="L28" s="1"/>
      <c r="M28" s="343"/>
      <c r="N28" s="1"/>
      <c r="O28" s="344"/>
      <c r="P28" s="1"/>
      <c r="Q28" s="1"/>
    </row>
    <row r="29" spans="1:17" ht="12.75">
      <c r="A29" s="45"/>
      <c r="B29" s="45"/>
      <c r="C29" s="45"/>
      <c r="D29" s="45"/>
      <c r="E29" s="45"/>
      <c r="F29" s="45"/>
      <c r="G29" s="45"/>
      <c r="H29" s="45"/>
      <c r="I29" s="45"/>
      <c r="J29" s="1"/>
      <c r="K29" s="1"/>
      <c r="L29" s="1"/>
      <c r="M29" s="1"/>
      <c r="N29" s="1"/>
      <c r="O29" s="1"/>
      <c r="P29" s="1"/>
      <c r="Q29" s="1"/>
    </row>
    <row r="30" spans="1:17" ht="12.75">
      <c r="A30" s="45"/>
      <c r="B30" s="45"/>
      <c r="C30" s="45"/>
      <c r="D30" s="45"/>
      <c r="E30" s="45"/>
      <c r="F30" s="45"/>
      <c r="G30" s="45"/>
      <c r="H30" s="45"/>
      <c r="I30" s="45"/>
      <c r="J30" s="1"/>
      <c r="K30" s="1"/>
      <c r="L30" s="1"/>
      <c r="M30" s="343"/>
      <c r="N30" s="1"/>
      <c r="O30" s="344"/>
      <c r="P30" s="1"/>
      <c r="Q30" s="1"/>
    </row>
    <row r="31" spans="1:17" ht="12.75">
      <c r="A31" s="45"/>
      <c r="B31" s="45"/>
      <c r="C31" s="45"/>
      <c r="D31" s="45"/>
      <c r="E31" s="45"/>
      <c r="F31" s="45"/>
      <c r="G31" s="45"/>
      <c r="H31" s="45"/>
      <c r="I31" s="45"/>
      <c r="J31" s="1"/>
      <c r="K31" s="1"/>
      <c r="L31" s="1"/>
      <c r="M31" s="1"/>
      <c r="N31" s="1"/>
      <c r="O31" s="1"/>
      <c r="P31" s="1"/>
      <c r="Q31" s="1"/>
    </row>
    <row r="32" spans="1:17" ht="12.75">
      <c r="A32" s="45"/>
      <c r="B32" s="45"/>
      <c r="C32" s="45"/>
      <c r="D32" s="45"/>
      <c r="E32" s="45"/>
      <c r="F32" s="45"/>
      <c r="G32" s="45"/>
      <c r="H32" s="45"/>
      <c r="I32" s="45"/>
      <c r="J32" s="1"/>
      <c r="K32" s="1"/>
      <c r="L32" s="1"/>
      <c r="M32" s="1"/>
      <c r="N32" s="1"/>
      <c r="O32" s="344"/>
      <c r="P32" s="1"/>
      <c r="Q32" s="1"/>
    </row>
    <row r="33" spans="1:17" ht="12.75">
      <c r="A33" s="45"/>
      <c r="B33" s="45"/>
      <c r="C33" s="45"/>
      <c r="D33" s="45"/>
      <c r="E33" s="45"/>
      <c r="F33" s="45"/>
      <c r="G33" s="45"/>
      <c r="H33" s="45"/>
      <c r="I33" s="45"/>
      <c r="J33" s="1"/>
      <c r="K33" s="1"/>
      <c r="L33" s="1"/>
      <c r="M33" s="1"/>
      <c r="N33" s="1"/>
      <c r="O33" s="1"/>
      <c r="P33" s="1"/>
      <c r="Q33" s="1"/>
    </row>
    <row r="34" spans="1:17" ht="12.75">
      <c r="A34" s="45"/>
      <c r="B34" s="45"/>
      <c r="C34" s="45"/>
      <c r="D34" s="45"/>
      <c r="E34" s="45"/>
      <c r="F34" s="45"/>
      <c r="G34" s="45"/>
      <c r="H34" s="45"/>
      <c r="I34" s="45"/>
      <c r="J34" s="342"/>
      <c r="K34" s="1"/>
      <c r="L34" s="1"/>
      <c r="M34" s="1"/>
      <c r="N34" s="1"/>
      <c r="O34" s="345"/>
      <c r="P34" s="1"/>
      <c r="Q34" s="1"/>
    </row>
    <row r="35" spans="1:17" ht="12.75">
      <c r="A35" s="45"/>
      <c r="B35" s="45"/>
      <c r="C35" s="45"/>
      <c r="D35" s="45"/>
      <c r="E35" s="45"/>
      <c r="F35" s="45"/>
      <c r="G35" s="45"/>
      <c r="H35" s="45"/>
      <c r="I35" s="45"/>
      <c r="J35" s="1"/>
      <c r="K35" s="1"/>
      <c r="L35" s="1"/>
      <c r="M35" s="1"/>
      <c r="N35" s="1"/>
      <c r="O35" s="345"/>
      <c r="P35" s="1"/>
      <c r="Q35" s="1"/>
    </row>
    <row r="36" spans="1:17" ht="12.75">
      <c r="A36" s="45"/>
      <c r="B36" s="45"/>
      <c r="C36" s="45"/>
      <c r="D36" s="45"/>
      <c r="E36" s="45"/>
      <c r="F36" s="45"/>
      <c r="G36" s="45"/>
      <c r="H36" s="45"/>
      <c r="I36" s="45"/>
      <c r="J36" s="1"/>
      <c r="K36" s="1"/>
      <c r="L36" s="1"/>
      <c r="M36" s="1"/>
      <c r="N36" s="1"/>
      <c r="O36" s="345"/>
      <c r="P36" s="1"/>
      <c r="Q36" s="1"/>
    </row>
    <row r="37" spans="1:17" ht="12.75">
      <c r="A37" s="45"/>
      <c r="B37" s="45"/>
      <c r="C37" s="45"/>
      <c r="D37" s="45"/>
      <c r="E37" s="45"/>
      <c r="F37" s="45"/>
      <c r="G37" s="45"/>
      <c r="H37" s="45"/>
      <c r="I37" s="45"/>
      <c r="J37" s="1"/>
      <c r="K37" s="1"/>
      <c r="L37" s="1"/>
      <c r="M37" s="1"/>
      <c r="N37" s="1"/>
      <c r="O37" s="345"/>
      <c r="P37" s="1"/>
      <c r="Q37" s="1"/>
    </row>
    <row r="38" spans="1:17" ht="12.75">
      <c r="A38" s="45"/>
      <c r="B38" s="45"/>
      <c r="C38" s="45"/>
      <c r="D38" s="45"/>
      <c r="E38" s="45"/>
      <c r="F38" s="45"/>
      <c r="G38" s="45"/>
      <c r="H38" s="45"/>
      <c r="I38" s="45"/>
      <c r="J38" s="1"/>
      <c r="K38" s="1"/>
      <c r="L38" s="1"/>
      <c r="M38" s="1"/>
      <c r="N38" s="1"/>
      <c r="O38" s="345"/>
      <c r="P38" s="1"/>
      <c r="Q38" s="1"/>
    </row>
    <row r="39" spans="1:17" ht="12.75">
      <c r="A39" s="45"/>
      <c r="B39" s="45"/>
      <c r="C39" s="45"/>
      <c r="D39" s="45"/>
      <c r="E39" s="45"/>
      <c r="F39" s="45"/>
      <c r="G39" s="45"/>
      <c r="H39" s="45"/>
      <c r="I39" s="45"/>
      <c r="J39" s="1"/>
      <c r="K39" s="1"/>
      <c r="L39" s="1"/>
      <c r="M39" s="1"/>
      <c r="N39" s="1"/>
      <c r="O39" s="345"/>
      <c r="P39" s="1"/>
      <c r="Q39" s="1"/>
    </row>
    <row r="40" spans="1:17" ht="12.75">
      <c r="A40" s="45"/>
      <c r="B40" s="45"/>
      <c r="C40" s="45"/>
      <c r="D40" s="45"/>
      <c r="E40" s="45"/>
      <c r="F40" s="45"/>
      <c r="G40" s="45"/>
      <c r="H40" s="45"/>
      <c r="I40" s="45"/>
      <c r="J40" s="1"/>
      <c r="K40" s="1"/>
      <c r="L40" s="1"/>
      <c r="M40" s="1"/>
      <c r="N40" s="1"/>
      <c r="O40" s="345"/>
      <c r="P40" s="1"/>
      <c r="Q40" s="1"/>
    </row>
    <row r="41" spans="1:17" ht="12.75">
      <c r="A41" s="45"/>
      <c r="B41" s="45"/>
      <c r="C41" s="45"/>
      <c r="D41" s="45"/>
      <c r="E41" s="45"/>
      <c r="F41" s="45"/>
      <c r="G41" s="45"/>
      <c r="H41" s="45"/>
      <c r="I41" s="45"/>
      <c r="J41" s="1"/>
      <c r="K41" s="1"/>
      <c r="L41" s="1"/>
      <c r="M41" s="1"/>
      <c r="N41" s="1"/>
      <c r="O41" s="345"/>
      <c r="P41" s="1"/>
      <c r="Q41" s="1"/>
    </row>
    <row r="42" spans="1:17" ht="12.75">
      <c r="A42" s="45"/>
      <c r="B42" s="45"/>
      <c r="C42" s="45"/>
      <c r="D42" s="45"/>
      <c r="E42" s="45"/>
      <c r="F42" s="45"/>
      <c r="G42" s="45"/>
      <c r="H42" s="45"/>
      <c r="I42" s="45"/>
      <c r="J42" s="1"/>
      <c r="K42" s="1"/>
      <c r="L42" s="1"/>
      <c r="M42" s="1"/>
      <c r="N42" s="1"/>
      <c r="O42" s="345"/>
      <c r="P42" s="1"/>
      <c r="Q42" s="1"/>
    </row>
    <row r="43" spans="1:17" ht="12.75">
      <c r="A43" s="45"/>
      <c r="B43" s="45"/>
      <c r="C43" s="45"/>
      <c r="D43" s="45"/>
      <c r="E43" s="45"/>
      <c r="F43" s="45"/>
      <c r="G43" s="45"/>
      <c r="H43" s="45"/>
      <c r="I43" s="45"/>
      <c r="J43" s="1"/>
      <c r="K43" s="1"/>
      <c r="L43" s="1"/>
      <c r="M43" s="1"/>
      <c r="N43" s="1"/>
      <c r="O43" s="344"/>
      <c r="P43" s="1"/>
      <c r="Q43" s="1"/>
    </row>
    <row r="44" spans="1:17" ht="12.75">
      <c r="A44" s="45"/>
      <c r="B44" s="45"/>
      <c r="C44" s="45"/>
      <c r="D44" s="45"/>
      <c r="E44" s="45"/>
      <c r="F44" s="45"/>
      <c r="G44" s="45"/>
      <c r="H44" s="45"/>
      <c r="I44" s="45"/>
      <c r="J44" s="1"/>
      <c r="K44" s="1"/>
      <c r="L44" s="1"/>
      <c r="M44" s="1"/>
      <c r="N44" s="1"/>
      <c r="O44" s="1"/>
      <c r="P44" s="1"/>
      <c r="Q44" s="1"/>
    </row>
    <row r="45" spans="1:17" ht="12.75">
      <c r="A45" s="45"/>
      <c r="B45" s="45"/>
      <c r="C45" s="45"/>
      <c r="D45" s="45"/>
      <c r="E45" s="45"/>
      <c r="F45" s="45"/>
      <c r="G45" s="45"/>
      <c r="H45" s="45"/>
      <c r="I45" s="45"/>
      <c r="J45" s="1"/>
      <c r="K45" s="1"/>
      <c r="L45" s="1"/>
      <c r="M45" s="1"/>
      <c r="N45" s="1"/>
      <c r="O45" s="1"/>
      <c r="P45" s="1"/>
      <c r="Q45" s="1"/>
    </row>
    <row r="46" spans="1:9" ht="12.75">
      <c r="A46" s="45"/>
      <c r="B46" s="45"/>
      <c r="C46" s="45"/>
      <c r="D46" s="45"/>
      <c r="E46" s="45"/>
      <c r="F46" s="45"/>
      <c r="G46" s="45"/>
      <c r="H46" s="45"/>
      <c r="I46" s="45"/>
    </row>
    <row r="47" spans="1:9" ht="12.75">
      <c r="A47" s="45"/>
      <c r="B47" s="45"/>
      <c r="C47" s="45"/>
      <c r="D47" s="45"/>
      <c r="E47" s="45"/>
      <c r="F47" s="45"/>
      <c r="G47" s="45"/>
      <c r="H47" s="45"/>
      <c r="I47" s="45"/>
    </row>
    <row r="48" spans="1:9" ht="12.75">
      <c r="A48" s="45"/>
      <c r="B48" s="45"/>
      <c r="C48" s="45"/>
      <c r="D48" s="45"/>
      <c r="E48" s="45"/>
      <c r="F48" s="45"/>
      <c r="G48" s="45"/>
      <c r="H48" s="45"/>
      <c r="I48" s="4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</dc:creator>
  <cp:keywords/>
  <dc:description/>
  <cp:lastModifiedBy>Harsh</cp:lastModifiedBy>
  <cp:lastPrinted>2010-08-05T06:35:43Z</cp:lastPrinted>
  <dcterms:created xsi:type="dcterms:W3CDTF">2006-03-31T04:01:20Z</dcterms:created>
  <dcterms:modified xsi:type="dcterms:W3CDTF">2006-08-15T19:20:06Z</dcterms:modified>
  <cp:category/>
  <cp:version/>
  <cp:contentType/>
  <cp:contentStatus/>
</cp:coreProperties>
</file>